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ains" sheetId="1" r:id="rId4"/>
    <sheet state="visible" name="Categories" sheetId="2" r:id="rId5"/>
  </sheets>
  <definedNames>
    <definedName hidden="1" localSheetId="0" name="_xlnm._FilterDatabase">Chains!$A$1:$I$2915</definedName>
    <definedName hidden="1" localSheetId="1" name="_xlnm._FilterDatabase">Categories!$A$1:$C$2928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This is a shareable list of POI Chains and Categories
	-Gabe Frangakis</t>
      </text>
    </comment>
  </commentList>
</comments>
</file>

<file path=xl/sharedStrings.xml><?xml version="1.0" encoding="utf-8"?>
<sst xmlns="http://schemas.openxmlformats.org/spreadsheetml/2006/main" count="8766" uniqueCount="6395">
  <si>
    <t>id</t>
  </si>
  <si>
    <t>name</t>
  </si>
  <si>
    <t>category_ids</t>
  </si>
  <si>
    <t>c_1</t>
  </si>
  <si>
    <t>c_2</t>
  </si>
  <si>
    <t>c_3</t>
  </si>
  <si>
    <t>category_1</t>
  </si>
  <si>
    <t>category_2</t>
  </si>
  <si>
    <t>category_3</t>
  </si>
  <si>
    <t>7-Eleven</t>
  </si>
  <si>
    <t>[1168]</t>
  </si>
  <si>
    <t>AAMCO Transmissions</t>
  </si>
  <si>
    <t>[469]</t>
  </si>
  <si>
    <t>Ace Hardware</t>
  </si>
  <si>
    <t>[1065]</t>
  </si>
  <si>
    <t>Advance Auto Parts</t>
  </si>
  <si>
    <t>[51]</t>
  </si>
  <si>
    <t>AFLAC</t>
  </si>
  <si>
    <t>[121]</t>
  </si>
  <si>
    <t>Alcoholics Anonymous</t>
  </si>
  <si>
    <t>[1213]</t>
  </si>
  <si>
    <t>Allstate Insurance</t>
  </si>
  <si>
    <t>American Express</t>
  </si>
  <si>
    <t>[934]</t>
  </si>
  <si>
    <t>American Family Insurance</t>
  </si>
  <si>
    <t>American Legion</t>
  </si>
  <si>
    <t>[2479]</t>
  </si>
  <si>
    <t>American Red Cross</t>
  </si>
  <si>
    <t>[1197]</t>
  </si>
  <si>
    <t>AmeriGas</t>
  </si>
  <si>
    <t>[1141]</t>
  </si>
  <si>
    <t>Amway Global Independent Busin</t>
  </si>
  <si>
    <t>[2631]</t>
  </si>
  <si>
    <t>Applebee's Grill &amp; Bar</t>
  </si>
  <si>
    <t>[228]</t>
  </si>
  <si>
    <t>Assembly of God Church</t>
  </si>
  <si>
    <t>[374]</t>
  </si>
  <si>
    <t>Associates Financial Services</t>
  </si>
  <si>
    <t>[933]</t>
  </si>
  <si>
    <t>AutoZone</t>
  </si>
  <si>
    <t>Avis Rent A Car</t>
  </si>
  <si>
    <t>[93]</t>
  </si>
  <si>
    <t>Bank of America Financial Cent</t>
  </si>
  <si>
    <t>[292]</t>
  </si>
  <si>
    <t>Baskin-Robbins</t>
  </si>
  <si>
    <t>[234]</t>
  </si>
  <si>
    <t>Bath &amp; Body Works</t>
  </si>
  <si>
    <t>[546]</t>
  </si>
  <si>
    <t>Beltone Hearing Aid Center</t>
  </si>
  <si>
    <t>[1294]</t>
  </si>
  <si>
    <t>Blimpie</t>
  </si>
  <si>
    <t>[608]</t>
  </si>
  <si>
    <t>H&amp;R Block</t>
  </si>
  <si>
    <t>[714]</t>
  </si>
  <si>
    <t>Blockbuster Video</t>
  </si>
  <si>
    <t>[1420]</t>
  </si>
  <si>
    <t>Boston Market</t>
  </si>
  <si>
    <t>BP Service Stations</t>
  </si>
  <si>
    <t>[1170]</t>
  </si>
  <si>
    <t>Burger King</t>
  </si>
  <si>
    <t>[240]</t>
  </si>
  <si>
    <t>Deactivated 2013-02-12 - Casey</t>
  </si>
  <si>
    <t>[242]</t>
  </si>
  <si>
    <t>Casey's General Store</t>
  </si>
  <si>
    <t>Cellular One</t>
  </si>
  <si>
    <t>[983]</t>
  </si>
  <si>
    <t>Century 21</t>
  </si>
  <si>
    <t>[1820]</t>
  </si>
  <si>
    <t>Chase Bank</t>
  </si>
  <si>
    <t>[293]</t>
  </si>
  <si>
    <t>Chevron</t>
  </si>
  <si>
    <t>Christian Science Church</t>
  </si>
  <si>
    <t>[384]</t>
  </si>
  <si>
    <t>Church of Christ</t>
  </si>
  <si>
    <t>[385]</t>
  </si>
  <si>
    <t>Church of God</t>
  </si>
  <si>
    <t>[386]</t>
  </si>
  <si>
    <t>Church of God of Prophecy</t>
  </si>
  <si>
    <t>The Church of Jesus Christ of</t>
  </si>
  <si>
    <t>[387]</t>
  </si>
  <si>
    <t>Church of The Nazarene</t>
  </si>
  <si>
    <t>[388]</t>
  </si>
  <si>
    <t>Church's Chicken</t>
  </si>
  <si>
    <t>Circle K</t>
  </si>
  <si>
    <t>Claire's</t>
  </si>
  <si>
    <t>[1243]</t>
  </si>
  <si>
    <t>Comfort Inn</t>
  </si>
  <si>
    <t>[168]</t>
  </si>
  <si>
    <t>Commercial Credit Corporation</t>
  </si>
  <si>
    <t>Country Financial</t>
  </si>
  <si>
    <t>Culligan Water Systems</t>
  </si>
  <si>
    <t>[1901]</t>
  </si>
  <si>
    <t>Dairy Queen</t>
  </si>
  <si>
    <t>Days Inn</t>
  </si>
  <si>
    <t>Denny's</t>
  </si>
  <si>
    <t>Dollar General</t>
  </si>
  <si>
    <t>[572]</t>
  </si>
  <si>
    <t>Domino's</t>
  </si>
  <si>
    <t>Dunkin'</t>
  </si>
  <si>
    <t>[2331]</t>
  </si>
  <si>
    <t>Econo Lodge</t>
  </si>
  <si>
    <t>Edward Jones Investments</t>
  </si>
  <si>
    <t>[298]</t>
  </si>
  <si>
    <t>A.G. Edwards &amp; Sons Incorporat</t>
  </si>
  <si>
    <t>[1327]</t>
  </si>
  <si>
    <t>Enterprise Rent-A-Car</t>
  </si>
  <si>
    <t>Family Dollar</t>
  </si>
  <si>
    <t>[760]</t>
  </si>
  <si>
    <t>Famous Footwear</t>
  </si>
  <si>
    <t>[741]</t>
  </si>
  <si>
    <t>Fantastic Sams</t>
  </si>
  <si>
    <t>[444]</t>
  </si>
  <si>
    <t>Farm Bureau Insurance</t>
  </si>
  <si>
    <t>Farmers Insurance</t>
  </si>
  <si>
    <t>Fashion Bug</t>
  </si>
  <si>
    <t>[1272]</t>
  </si>
  <si>
    <t>Ferrellgas</t>
  </si>
  <si>
    <t>Foot Locker</t>
  </si>
  <si>
    <t>Frito-Lay</t>
  </si>
  <si>
    <t>[590]</t>
  </si>
  <si>
    <t>Gap</t>
  </si>
  <si>
    <t>[1261]</t>
  </si>
  <si>
    <t>GNC</t>
  </si>
  <si>
    <t>[860]</t>
  </si>
  <si>
    <t>Gideons International</t>
  </si>
  <si>
    <t>[423]</t>
  </si>
  <si>
    <t>Goodyear Auto Service Center</t>
  </si>
  <si>
    <t>Superior Tire &amp; Service</t>
  </si>
  <si>
    <t>[110]</t>
  </si>
  <si>
    <t>Greyhound Bus Lines</t>
  </si>
  <si>
    <t>[1471]</t>
  </si>
  <si>
    <t>Hampton Inn by Hilton</t>
  </si>
  <si>
    <t>Hardee's</t>
  </si>
  <si>
    <t>Herbalife Independent Distribu</t>
  </si>
  <si>
    <t>Penske Truck Rental</t>
  </si>
  <si>
    <t>[96]</t>
  </si>
  <si>
    <t>Holiday Inn</t>
  </si>
  <si>
    <t>IHOP</t>
  </si>
  <si>
    <t>Jcpenney</t>
  </si>
  <si>
    <t>[1617]</t>
  </si>
  <si>
    <t>Jack in the Box</t>
  </si>
  <si>
    <t>Jackson Hewitt Tax Service</t>
  </si>
  <si>
    <t>Jehovah's Witnesses</t>
  </si>
  <si>
    <t>[402]</t>
  </si>
  <si>
    <t>Jiffy Lube</t>
  </si>
  <si>
    <t>[476]</t>
  </si>
  <si>
    <t>JOANN Fabrics and Crafts</t>
  </si>
  <si>
    <t>[867]</t>
  </si>
  <si>
    <t>Kelly Services</t>
  </si>
  <si>
    <t>[560]</t>
  </si>
  <si>
    <t>KFC</t>
  </si>
  <si>
    <t>FedEx Office Print &amp; Ship Cent</t>
  </si>
  <si>
    <t>[1183]</t>
  </si>
  <si>
    <t>Kmart</t>
  </si>
  <si>
    <t>Knights of Columbus</t>
  </si>
  <si>
    <t>[2511]</t>
  </si>
  <si>
    <t>La Petite Academy</t>
  </si>
  <si>
    <t>[195]</t>
  </si>
  <si>
    <t>LabCorp</t>
  </si>
  <si>
    <t>[1922]</t>
  </si>
  <si>
    <t>Lenscrafters</t>
  </si>
  <si>
    <t>[1835]</t>
  </si>
  <si>
    <t>Little Caesars Pizza</t>
  </si>
  <si>
    <t>Long John Silver's</t>
  </si>
  <si>
    <t>[243]</t>
  </si>
  <si>
    <t>The UPS Store</t>
  </si>
  <si>
    <t>[1763]</t>
  </si>
  <si>
    <t>Mary Kay Cosmetics</t>
  </si>
  <si>
    <t>McDonald's</t>
  </si>
  <si>
    <t>Medicine Shoppe Pharmacy</t>
  </si>
  <si>
    <t>[189]</t>
  </si>
  <si>
    <t>Meineke Car Care Center</t>
  </si>
  <si>
    <t>Merle Norman Cosmetics</t>
  </si>
  <si>
    <t>Merrill Lynch Wealth Managemen</t>
  </si>
  <si>
    <t>[1317]</t>
  </si>
  <si>
    <t>Merry Maids</t>
  </si>
  <si>
    <t>[2557]</t>
  </si>
  <si>
    <t>Midas Auto Service &amp; Tires</t>
  </si>
  <si>
    <t>Minuteman Press</t>
  </si>
  <si>
    <t>[2247]</t>
  </si>
  <si>
    <t>Miracle-Ear</t>
  </si>
  <si>
    <t>Mobil</t>
  </si>
  <si>
    <t>NAPA Auto Parts</t>
  </si>
  <si>
    <t>Williams Insurance Team</t>
  </si>
  <si>
    <t>New Hope Baptist Church</t>
  </si>
  <si>
    <t>[375]</t>
  </si>
  <si>
    <t>New York Life Insurance Compan</t>
  </si>
  <si>
    <t>North American Van Lines</t>
  </si>
  <si>
    <t>[534]</t>
  </si>
  <si>
    <t>Olan Mills Portrait Studio</t>
  </si>
  <si>
    <t>[639]</t>
  </si>
  <si>
    <t>Olsten Staffing Services</t>
  </si>
  <si>
    <t>One Price Clothing Store</t>
  </si>
  <si>
    <t>Orkin Pest &amp; Termite Control</t>
  </si>
  <si>
    <t>[442]</t>
  </si>
  <si>
    <t>Papa John's Pizza</t>
  </si>
  <si>
    <t>Pearle Vision Center</t>
  </si>
  <si>
    <t>Pep Boys Auto Parts, Tires &amp; S</t>
  </si>
  <si>
    <t>Pizza Hut</t>
  </si>
  <si>
    <t>Play IT Again Sports</t>
  </si>
  <si>
    <t>[316]</t>
  </si>
  <si>
    <t>Popeyes Famous Fried Chicken</t>
  </si>
  <si>
    <t>Primerica Financial Services</t>
  </si>
  <si>
    <t>Prudential Insurance Company</t>
  </si>
  <si>
    <t>Public Storage</t>
  </si>
  <si>
    <t>[1384]</t>
  </si>
  <si>
    <t>Quest Diagnostics</t>
  </si>
  <si>
    <t>[1920]</t>
  </si>
  <si>
    <t>Radio Shack</t>
  </si>
  <si>
    <t>[1945]</t>
  </si>
  <si>
    <t>Red Lobster</t>
  </si>
  <si>
    <t>Regis Salons</t>
  </si>
  <si>
    <t>[446]</t>
  </si>
  <si>
    <t>Rent-A-Center</t>
  </si>
  <si>
    <t>[30]</t>
  </si>
  <si>
    <t>Rite Aid</t>
  </si>
  <si>
    <t>Roto Rooter Plumbing &amp; Drain S</t>
  </si>
  <si>
    <t>[147]</t>
  </si>
  <si>
    <t>Royal Alliance Associates</t>
  </si>
  <si>
    <t>Ryder Truck Rental and Leasing</t>
  </si>
  <si>
    <t>Safelite Auto Glass</t>
  </si>
  <si>
    <t>[483]</t>
  </si>
  <si>
    <t>Sally Beauty</t>
  </si>
  <si>
    <t>[545]</t>
  </si>
  <si>
    <t>Salvation Army</t>
  </si>
  <si>
    <t>[370]</t>
  </si>
  <si>
    <t>Sears</t>
  </si>
  <si>
    <t>Securities America</t>
  </si>
  <si>
    <t>Seventh-Day Adventist Church</t>
  </si>
  <si>
    <t>[414]</t>
  </si>
  <si>
    <t>Shaklee Distributor</t>
  </si>
  <si>
    <t>Sherwin-Williams</t>
  </si>
  <si>
    <t>[956]</t>
  </si>
  <si>
    <t>Shoney's</t>
  </si>
  <si>
    <t>Sir Speedy Printing and Market</t>
  </si>
  <si>
    <t>Glaxosmithkline</t>
  </si>
  <si>
    <t>Sonic Drive-In</t>
  </si>
  <si>
    <t>Stanley Steemer</t>
  </si>
  <si>
    <t>[2536]</t>
  </si>
  <si>
    <t>Starbucks</t>
  </si>
  <si>
    <t>[580]</t>
  </si>
  <si>
    <t>State Farm Insurance</t>
  </si>
  <si>
    <t>Subway</t>
  </si>
  <si>
    <t>Super 8 Motel</t>
  </si>
  <si>
    <t>Supercuts</t>
  </si>
  <si>
    <t>Sylvan Learning</t>
  </si>
  <si>
    <t>[1587]</t>
  </si>
  <si>
    <t>Taco Bell</t>
  </si>
  <si>
    <t>TCBY</t>
  </si>
  <si>
    <t>[593]</t>
  </si>
  <si>
    <t>Terminix</t>
  </si>
  <si>
    <t>Texaco</t>
  </si>
  <si>
    <t>Things Remembered</t>
  </si>
  <si>
    <t>[686]</t>
  </si>
  <si>
    <t>Toys "R" US</t>
  </si>
  <si>
    <t>[1462]</t>
  </si>
  <si>
    <t>U-Haul Neighborhood Dealer</t>
  </si>
  <si>
    <t>United Methodist Church</t>
  </si>
  <si>
    <t>[405]</t>
  </si>
  <si>
    <t>United Pentecostal Church</t>
  </si>
  <si>
    <t>[373]</t>
  </si>
  <si>
    <t>Victoria's Secret</t>
  </si>
  <si>
    <t>[1273]</t>
  </si>
  <si>
    <t>Waffle House</t>
  </si>
  <si>
    <t>Walmart Pharmacy</t>
  </si>
  <si>
    <t>Waldenbooks</t>
  </si>
  <si>
    <t>[429]</t>
  </si>
  <si>
    <t>Walgreens</t>
  </si>
  <si>
    <t>WELLS FARGO BANK</t>
  </si>
  <si>
    <t>Wendy's</t>
  </si>
  <si>
    <t>Western Auto</t>
  </si>
  <si>
    <t>Western Union</t>
  </si>
  <si>
    <t>[897]</t>
  </si>
  <si>
    <t>Zales Jewelers</t>
  </si>
  <si>
    <t>[619]</t>
  </si>
  <si>
    <t>Presbyterian Church</t>
  </si>
  <si>
    <t>[409]</t>
  </si>
  <si>
    <t>84 Lumber Co</t>
  </si>
  <si>
    <t>[2766]</t>
  </si>
  <si>
    <t>ACE Cash Express</t>
  </si>
  <si>
    <t>[936]</t>
  </si>
  <si>
    <t>Agency Rent A Car</t>
  </si>
  <si>
    <t>Albertsons</t>
  </si>
  <si>
    <t>Allied Van Lines</t>
  </si>
  <si>
    <t>[1189]</t>
  </si>
  <si>
    <t>American Cancer Society</t>
  </si>
  <si>
    <t>[2487]</t>
  </si>
  <si>
    <t>American Fair Credit</t>
  </si>
  <si>
    <t>[1322]</t>
  </si>
  <si>
    <t>Apria Healthcare</t>
  </si>
  <si>
    <t>[2035]</t>
  </si>
  <si>
    <t>Arby's</t>
  </si>
  <si>
    <t>The Athlete's Foot</t>
  </si>
  <si>
    <t>Barnes &amp; Noble Booksellers</t>
  </si>
  <si>
    <t>Bills Dollar Store</t>
  </si>
  <si>
    <t>[2896]</t>
  </si>
  <si>
    <t>Boy Scouts of America</t>
  </si>
  <si>
    <t>[839]</t>
  </si>
  <si>
    <t>Budget Rent A Car</t>
  </si>
  <si>
    <t>Carlson Wagonlit Travel</t>
  </si>
  <si>
    <t>[1105]</t>
  </si>
  <si>
    <t>CarQuest Auto Parts</t>
  </si>
  <si>
    <t>Casual Male Xl</t>
  </si>
  <si>
    <t>[1241]</t>
  </si>
  <si>
    <t>Champs Sports</t>
  </si>
  <si>
    <t>Checkers Drive-In Restaurant</t>
  </si>
  <si>
    <t>Chili's Grill &amp; Bar</t>
  </si>
  <si>
    <t>[241]</t>
  </si>
  <si>
    <t>Coldwell Banker Realty</t>
  </si>
  <si>
    <t>[458]</t>
  </si>
  <si>
    <t>Cost Cutters</t>
  </si>
  <si>
    <t>Country Kitchen</t>
  </si>
  <si>
    <t>CVS Pharmacy</t>
  </si>
  <si>
    <t>Morgan Stanley</t>
  </si>
  <si>
    <t>Interiors by Decorating Den</t>
  </si>
  <si>
    <t>[2573]</t>
  </si>
  <si>
    <t>Valero</t>
  </si>
  <si>
    <t>Disabled American Veterans</t>
  </si>
  <si>
    <t>Dollar Tree</t>
  </si>
  <si>
    <t>Eckerd Express Photo</t>
  </si>
  <si>
    <t>[1421]</t>
  </si>
  <si>
    <t>Express Employment Professiona</t>
  </si>
  <si>
    <t>[561]</t>
  </si>
  <si>
    <t>Farm Credit Services</t>
  </si>
  <si>
    <t>[290]</t>
  </si>
  <si>
    <t>Fastenal</t>
  </si>
  <si>
    <t>Firestone Complete Auto Care</t>
  </si>
  <si>
    <t>Furniture Medic</t>
  </si>
  <si>
    <t>[31]</t>
  </si>
  <si>
    <t>Godfather's Pizza Express</t>
  </si>
  <si>
    <t>Golden Corral</t>
  </si>
  <si>
    <t>Goodwill</t>
  </si>
  <si>
    <t>[768]</t>
  </si>
  <si>
    <t>Great Clips</t>
  </si>
  <si>
    <t>Habitat for Humanity</t>
  </si>
  <si>
    <t>[824]</t>
  </si>
  <si>
    <t>Horace Mann Insurance</t>
  </si>
  <si>
    <t>Ikon Office Solutions</t>
  </si>
  <si>
    <t>[244]</t>
  </si>
  <si>
    <t>Interim Healthcare</t>
  </si>
  <si>
    <t>Jenny Craig Weight Loss Center</t>
  </si>
  <si>
    <t>[2499]</t>
  </si>
  <si>
    <t>Kay Jewelers</t>
  </si>
  <si>
    <t>KinderCare Learning Centers</t>
  </si>
  <si>
    <t>[197]</t>
  </si>
  <si>
    <t>Kroger</t>
  </si>
  <si>
    <t>[610]</t>
  </si>
  <si>
    <t>PeopleReady</t>
  </si>
  <si>
    <t>Lane Bryant</t>
  </si>
  <si>
    <t>Liberty Mutual</t>
  </si>
  <si>
    <t>Lpl Financial</t>
  </si>
  <si>
    <t>MAACO</t>
  </si>
  <si>
    <t>[1288]</t>
  </si>
  <si>
    <t>Manpower</t>
  </si>
  <si>
    <t>Marshalls Department Store</t>
  </si>
  <si>
    <t>Maurices</t>
  </si>
  <si>
    <t>Motel 6</t>
  </si>
  <si>
    <t>National Car Rental</t>
  </si>
  <si>
    <t>Northwestern Mutual Life Insur</t>
  </si>
  <si>
    <t>Novacare Rehabilitation</t>
  </si>
  <si>
    <t>[2021]</t>
  </si>
  <si>
    <t>Nutrisystem Weight Loss Center</t>
  </si>
  <si>
    <t>Olive Garden Italian Restauran</t>
  </si>
  <si>
    <t>Martinizing Dry Cleaning</t>
  </si>
  <si>
    <t>[555]</t>
  </si>
  <si>
    <t>Outback Steakhouse</t>
  </si>
  <si>
    <t>Parts America</t>
  </si>
  <si>
    <t>Arvig Communication Systems</t>
  </si>
  <si>
    <t>[1000]</t>
  </si>
  <si>
    <t>Perkins Family Restaurant</t>
  </si>
  <si>
    <t>Pier 1 Imports</t>
  </si>
  <si>
    <t>[37]</t>
  </si>
  <si>
    <t>Piercing Pagoda</t>
  </si>
  <si>
    <t>PIP Printing and Marketing Ser</t>
  </si>
  <si>
    <t>PNC Bank</t>
  </si>
  <si>
    <t>Ponderosa Steakhouse</t>
  </si>
  <si>
    <t>Precision Tune Auto Care</t>
  </si>
  <si>
    <t>Primestar Solar</t>
  </si>
  <si>
    <t>[2755]</t>
  </si>
  <si>
    <t>Publix Super Markets</t>
  </si>
  <si>
    <t>Rent-A-Wreck</t>
  </si>
  <si>
    <t>Senior Corps</t>
  </si>
  <si>
    <t>[1598]</t>
  </si>
  <si>
    <t>Revco Drug Stores</t>
  </si>
  <si>
    <t>Ritz Camera &amp; Image</t>
  </si>
  <si>
    <t>[709]</t>
  </si>
  <si>
    <t>Roadway Express Inc</t>
  </si>
  <si>
    <t>[2225]</t>
  </si>
  <si>
    <t>Sbarro</t>
  </si>
  <si>
    <t>Schlotzsky's</t>
  </si>
  <si>
    <t>Schwan's</t>
  </si>
  <si>
    <t>Servicemaster Clean</t>
  </si>
  <si>
    <t>[2556]</t>
  </si>
  <si>
    <t>Shelter Insurance</t>
  </si>
  <si>
    <t>Staples</t>
  </si>
  <si>
    <t>[277]</t>
  </si>
  <si>
    <t>Stop-N-Go</t>
  </si>
  <si>
    <t>Extra Space Storage</t>
  </si>
  <si>
    <t>Suburban Propane</t>
  </si>
  <si>
    <t>[844]</t>
  </si>
  <si>
    <t>Summit Bank</t>
  </si>
  <si>
    <t>Sunglass Hut</t>
  </si>
  <si>
    <t>[1267]</t>
  </si>
  <si>
    <t>Superamerica</t>
  </si>
  <si>
    <t>Target</t>
  </si>
  <si>
    <t>Thrifty Car Rental</t>
  </si>
  <si>
    <t>Diamond Triumph Glass</t>
  </si>
  <si>
    <t>True Value</t>
  </si>
  <si>
    <t>U.S. Bank Branch</t>
  </si>
  <si>
    <t>U-Save Car and Truck Rental</t>
  </si>
  <si>
    <t>Valvoline Instant Oil Change</t>
  </si>
  <si>
    <t>[1473]</t>
  </si>
  <si>
    <t>Veterans of Foreign Wars</t>
  </si>
  <si>
    <t>Independent Watkins Associate</t>
  </si>
  <si>
    <t>Wawa</t>
  </si>
  <si>
    <t>Winn-Dixie</t>
  </si>
  <si>
    <t>World Financial Group</t>
  </si>
  <si>
    <t>Yellow Freight System Inc</t>
  </si>
  <si>
    <t>First Citizens Bank</t>
  </si>
  <si>
    <t>AT&amp;T</t>
  </si>
  <si>
    <t>[705]</t>
  </si>
  <si>
    <t>AAA Travel agency</t>
  </si>
  <si>
    <t>Aaron's</t>
  </si>
  <si>
    <t>[1079]</t>
  </si>
  <si>
    <t>Abf Freight System</t>
  </si>
  <si>
    <t>[1174]</t>
  </si>
  <si>
    <t>Acme Market</t>
  </si>
  <si>
    <t>Adecco Employment Services</t>
  </si>
  <si>
    <t>[558]</t>
  </si>
  <si>
    <t>Agway</t>
  </si>
  <si>
    <t>Thrivent Financial for Luthera</t>
  </si>
  <si>
    <t>Air Products</t>
  </si>
  <si>
    <t>[1292]</t>
  </si>
  <si>
    <t>Airgas</t>
  </si>
  <si>
    <t>Al-Anon</t>
  </si>
  <si>
    <t>All Tune &amp; Lube</t>
  </si>
  <si>
    <t>American Eagle Outfitters</t>
  </si>
  <si>
    <t>American General Insurance</t>
  </si>
  <si>
    <t>American Heart Association</t>
  </si>
  <si>
    <t>[2482]</t>
  </si>
  <si>
    <t>American Homepatient</t>
  </si>
  <si>
    <t>[1289]</t>
  </si>
  <si>
    <t>American Medical Response</t>
  </si>
  <si>
    <t>[1712]</t>
  </si>
  <si>
    <t>American National Insurance</t>
  </si>
  <si>
    <t>American Speedy Printing Cente</t>
  </si>
  <si>
    <t>Amoco Food Shop</t>
  </si>
  <si>
    <t>Ampco System Parking</t>
  </si>
  <si>
    <t>[1995]</t>
  </si>
  <si>
    <t>AmSouth Bank</t>
  </si>
  <si>
    <t>Applied Industrial Technologie</t>
  </si>
  <si>
    <t>[2192]</t>
  </si>
  <si>
    <t>Aramark Uniform Services</t>
  </si>
  <si>
    <t>[1449]</t>
  </si>
  <si>
    <t>Arch Paging</t>
  </si>
  <si>
    <t>[985]</t>
  </si>
  <si>
    <t>Associated Press</t>
  </si>
  <si>
    <t>[775]</t>
  </si>
  <si>
    <t>Atlas Van Lines</t>
  </si>
  <si>
    <t>Auntie Anne's</t>
  </si>
  <si>
    <t>[605]</t>
  </si>
  <si>
    <t>Avon Representative</t>
  </si>
  <si>
    <t>Bally Total Fitness</t>
  </si>
  <si>
    <t>[2604]</t>
  </si>
  <si>
    <t>Banana Republic</t>
  </si>
  <si>
    <t>Bny Mellon</t>
  </si>
  <si>
    <t>Bankers Life &amp; Casualty Co</t>
  </si>
  <si>
    <t>Bealls Florida</t>
  </si>
  <si>
    <t>Bekins Van Lines</t>
  </si>
  <si>
    <t>Bell Atlantic</t>
  </si>
  <si>
    <t>Bellsouth</t>
  </si>
  <si>
    <t>Ben Franklin Store</t>
  </si>
  <si>
    <t>Best Buy</t>
  </si>
  <si>
    <t>[1965]</t>
  </si>
  <si>
    <t>Republic Services</t>
  </si>
  <si>
    <t>[851]</t>
  </si>
  <si>
    <t>Bi-Lo</t>
  </si>
  <si>
    <t>Big Brothers/Big Sisters</t>
  </si>
  <si>
    <t>[927]</t>
  </si>
  <si>
    <t>Big Lots</t>
  </si>
  <si>
    <t>Bob Evans Restaurant</t>
  </si>
  <si>
    <t>Borics</t>
  </si>
  <si>
    <t>Brookstone</t>
  </si>
  <si>
    <t>Bruegger's Bagels</t>
  </si>
  <si>
    <t>[573]</t>
  </si>
  <si>
    <t>Bumper to Bumper Auto Parts</t>
  </si>
  <si>
    <t>Burlington Coat Factory</t>
  </si>
  <si>
    <t>Burlington Northern Railroad</t>
  </si>
  <si>
    <t>[1481]</t>
  </si>
  <si>
    <t>Captain D's</t>
  </si>
  <si>
    <t>Carlton Cards</t>
  </si>
  <si>
    <t>[692]</t>
  </si>
  <si>
    <t>Cash America</t>
  </si>
  <si>
    <t>[766]</t>
  </si>
  <si>
    <t>Catholic Charities</t>
  </si>
  <si>
    <t>Cato</t>
  </si>
  <si>
    <t>Centex Homes</t>
  </si>
  <si>
    <t>[2348]</t>
  </si>
  <si>
    <t>Deactivated 2013-02-12 - Centu</t>
  </si>
  <si>
    <t>[941]</t>
  </si>
  <si>
    <t>Check Into Cash</t>
  </si>
  <si>
    <t>[896]</t>
  </si>
  <si>
    <t>Check 'N Go</t>
  </si>
  <si>
    <t>Chicago Title Company</t>
  </si>
  <si>
    <t>[17]</t>
  </si>
  <si>
    <t>Chick-fil-A</t>
  </si>
  <si>
    <t>CiCi's Pizza</t>
  </si>
  <si>
    <t>Clark Gas &amp; Oil</t>
  </si>
  <si>
    <t>Cloth World</t>
  </si>
  <si>
    <t>[1634]</t>
  </si>
  <si>
    <t>Coastal Mart Inc</t>
  </si>
  <si>
    <t>Carpetsplus Color Tile</t>
  </si>
  <si>
    <t>[1030]</t>
  </si>
  <si>
    <t>Colortyme</t>
  </si>
  <si>
    <t>Communications Workers of Amer</t>
  </si>
  <si>
    <t>[2490]</t>
  </si>
  <si>
    <t>Computer Renaissance</t>
  </si>
  <si>
    <t>[715]</t>
  </si>
  <si>
    <t>Conoco</t>
  </si>
  <si>
    <t>Consolidated Electrical Distri</t>
  </si>
  <si>
    <t>[1941]</t>
  </si>
  <si>
    <t>Deactivated 2013-02-12 - Conti</t>
  </si>
  <si>
    <t>[683]</t>
  </si>
  <si>
    <t>Speedway</t>
  </si>
  <si>
    <t>Corestates Bank</t>
  </si>
  <si>
    <t>Corning Clinical Laboratories</t>
  </si>
  <si>
    <t>Cottman Transmission Centers</t>
  </si>
  <si>
    <t>Countrywide Home Loans</t>
  </si>
  <si>
    <t>[938]</t>
  </si>
  <si>
    <t>Cracker Barrel</t>
  </si>
  <si>
    <t>Crime Stoppers</t>
  </si>
  <si>
    <t>[2486]</t>
  </si>
  <si>
    <t>Cruiseone Specialist</t>
  </si>
  <si>
    <t>Cumberland Farms</t>
  </si>
  <si>
    <t>Curves</t>
  </si>
  <si>
    <t>Dale Carnegie Training</t>
  </si>
  <si>
    <t>[1416]</t>
  </si>
  <si>
    <t>Daltile Sales Service Center</t>
  </si>
  <si>
    <t>[1132]</t>
  </si>
  <si>
    <t>Daylight Donuts</t>
  </si>
  <si>
    <t>Deck The Walls</t>
  </si>
  <si>
    <t>[2654]</t>
  </si>
  <si>
    <t>Delta Air Lines</t>
  </si>
  <si>
    <t>[727]</t>
  </si>
  <si>
    <t>Diet Center</t>
  </si>
  <si>
    <t>Digital Equipment Corp</t>
  </si>
  <si>
    <t>[716]</t>
  </si>
  <si>
    <t>Discovery Toys Educational Con</t>
  </si>
  <si>
    <t>Disney Store</t>
  </si>
  <si>
    <t>[1455]</t>
  </si>
  <si>
    <t>Dollar Rent A Car</t>
  </si>
  <si>
    <t>Duron Paints &amp; Wallcoverings</t>
  </si>
  <si>
    <t>Easy Spirit</t>
  </si>
  <si>
    <t>[739]</t>
  </si>
  <si>
    <t>Eddie Bauer</t>
  </si>
  <si>
    <t>Einstein Bros Bagels</t>
  </si>
  <si>
    <t>EB Games</t>
  </si>
  <si>
    <t>Elks Lodge</t>
  </si>
  <si>
    <t>Extended Stay America</t>
  </si>
  <si>
    <t>Exxon</t>
  </si>
  <si>
    <t>Ezpawn</t>
  </si>
  <si>
    <t>Fairfield Inn &amp; Suites by Marr</t>
  </si>
  <si>
    <t>[162]</t>
  </si>
  <si>
    <t>Family Video</t>
  </si>
  <si>
    <t>Farmers Union Insurance</t>
  </si>
  <si>
    <t>FASTSIGNS</t>
  </si>
  <si>
    <t>[792]</t>
  </si>
  <si>
    <t>Federated Insurance</t>
  </si>
  <si>
    <t>Fidelity National Title Insura</t>
  </si>
  <si>
    <t>[137]</t>
  </si>
  <si>
    <t>Fiesta Salon</t>
  </si>
  <si>
    <t>Fifth Third Bank</t>
  </si>
  <si>
    <t>The Finish Line</t>
  </si>
  <si>
    <t>First American National Bank</t>
  </si>
  <si>
    <t>First American Title</t>
  </si>
  <si>
    <t>First National Bank</t>
  </si>
  <si>
    <t>First State Bank</t>
  </si>
  <si>
    <t>Floor Coverings International</t>
  </si>
  <si>
    <t>[1037]</t>
  </si>
  <si>
    <t>Flowers Baking Company</t>
  </si>
  <si>
    <t>Food Lion</t>
  </si>
  <si>
    <t>Footaction USA</t>
  </si>
  <si>
    <t>Fraternal Order of Eagles</t>
  </si>
  <si>
    <t>Fred Meyer</t>
  </si>
  <si>
    <t>Fredericks of Hollywood</t>
  </si>
  <si>
    <t>[1259]</t>
  </si>
  <si>
    <t>Frontier Adjusters</t>
  </si>
  <si>
    <t>[122]</t>
  </si>
  <si>
    <t>Gab Robins</t>
  </si>
  <si>
    <t>Gadzooks</t>
  </si>
  <si>
    <t>Georgia-Pacific</t>
  </si>
  <si>
    <t>[942]</t>
  </si>
  <si>
    <t>Glamour Shots</t>
  </si>
  <si>
    <t>[634]</t>
  </si>
  <si>
    <t>Glass Doctor</t>
  </si>
  <si>
    <t>Glidden Paints</t>
  </si>
  <si>
    <t>Gold's Gym</t>
  </si>
  <si>
    <t>Gordon's Jewelers</t>
  </si>
  <si>
    <t>Graybar Electric Supply</t>
  </si>
  <si>
    <t>[1340]</t>
  </si>
  <si>
    <t>Hancock Fabrics</t>
  </si>
  <si>
    <t>Healthsouth</t>
  </si>
  <si>
    <t>[188]</t>
  </si>
  <si>
    <t>Helena Chemical</t>
  </si>
  <si>
    <t>[1124]</t>
  </si>
  <si>
    <t>Hertz</t>
  </si>
  <si>
    <t>Hibernia National Bank</t>
  </si>
  <si>
    <t>Holiday Hair</t>
  </si>
  <si>
    <t>The Home Depot</t>
  </si>
  <si>
    <t>[278]</t>
  </si>
  <si>
    <t>Home Savings of America</t>
  </si>
  <si>
    <t>Honeywell</t>
  </si>
  <si>
    <t>[2805]</t>
  </si>
  <si>
    <t>Howard Johnson</t>
  </si>
  <si>
    <t>Hungry Howie's Pizza</t>
  </si>
  <si>
    <t>Huntington Bank</t>
  </si>
  <si>
    <t>Glidden Professional Paint Cen</t>
  </si>
  <si>
    <t>International Brotherhood of E</t>
  </si>
  <si>
    <t>Jazzercise</t>
  </si>
  <si>
    <t>[2598]</t>
  </si>
  <si>
    <t>John Hancock</t>
  </si>
  <si>
    <t>Kaiser Permanente Health Care</t>
  </si>
  <si>
    <t>[126]</t>
  </si>
  <si>
    <t>Kenny Rogers Roasters</t>
  </si>
  <si>
    <t>KEYBANK</t>
  </si>
  <si>
    <t>Kids R US</t>
  </si>
  <si>
    <t>[1247]</t>
  </si>
  <si>
    <t>Knights Inn</t>
  </si>
  <si>
    <t>Kohl's</t>
  </si>
  <si>
    <t>Kwik Kopy Printing</t>
  </si>
  <si>
    <t>La-Z-Boy Furniture Gallery</t>
  </si>
  <si>
    <t>[25]</t>
  </si>
  <si>
    <t>First Transit</t>
  </si>
  <si>
    <t>Lerner Shops</t>
  </si>
  <si>
    <t>Lesco Service Center</t>
  </si>
  <si>
    <t>[1122]</t>
  </si>
  <si>
    <t>Leslie's Swimming Pool Supplie</t>
  </si>
  <si>
    <t>[1527]</t>
  </si>
  <si>
    <t>Liberty Travel</t>
  </si>
  <si>
    <t>Express</t>
  </si>
  <si>
    <t>Lincare</t>
  </si>
  <si>
    <t>Lone Star Steakhouse</t>
  </si>
  <si>
    <t>Long &amp; Foster Realtors</t>
  </si>
  <si>
    <t>Alcatel-Lucent</t>
  </si>
  <si>
    <t>[975]</t>
  </si>
  <si>
    <t>Mrinetwork</t>
  </si>
  <si>
    <t>[2762]</t>
  </si>
  <si>
    <t>March of Dimes</t>
  </si>
  <si>
    <t>MassMutual</t>
  </si>
  <si>
    <t>Mastercuts</t>
  </si>
  <si>
    <t>Mayflower Transit</t>
  </si>
  <si>
    <t>Meals On Wheels</t>
  </si>
  <si>
    <t>Men's Wearhouse</t>
  </si>
  <si>
    <t>MetLife</t>
  </si>
  <si>
    <t>Michaels</t>
  </si>
  <si>
    <t>Modern Woodmen of America</t>
  </si>
  <si>
    <t>Monro Muffler Brake &amp; Service</t>
  </si>
  <si>
    <t>RR Donnelley</t>
  </si>
  <si>
    <t>Loyal Order of Moose Lodges</t>
  </si>
  <si>
    <t>Motherhood Maternity</t>
  </si>
  <si>
    <t>[1260]</t>
  </si>
  <si>
    <t>Mothers Against Drunk Driving</t>
  </si>
  <si>
    <t>Motion Industries</t>
  </si>
  <si>
    <t>Mr. Rooter Plumbing</t>
  </si>
  <si>
    <t>Mrs. Fields Cookies</t>
  </si>
  <si>
    <t>[582]</t>
  </si>
  <si>
    <t>Muscular Dystrophy Association</t>
  </si>
  <si>
    <t>[2481]</t>
  </si>
  <si>
    <t>Mutual of Omaha</t>
  </si>
  <si>
    <t>Narcotics Anonymous</t>
  </si>
  <si>
    <t>National Cash Advance</t>
  </si>
  <si>
    <t>National Health Laboratories</t>
  </si>
  <si>
    <t>Naturalizer</t>
  </si>
  <si>
    <t>Nextel Communications</t>
  </si>
  <si>
    <t>Northern Reflections</t>
  </si>
  <si>
    <t>Novus Glass</t>
  </si>
  <si>
    <t>National Tire &amp; Battery</t>
  </si>
  <si>
    <t>Officemax</t>
  </si>
  <si>
    <t>Old Country Buffet</t>
  </si>
  <si>
    <t>Ameriprise Financial</t>
  </si>
  <si>
    <t>Once Upon A Child</t>
  </si>
  <si>
    <t>Orthodontic Centers of America</t>
  </si>
  <si>
    <t>[87]</t>
  </si>
  <si>
    <t>Osco Pharmacy</t>
  </si>
  <si>
    <t>Otis Elevator</t>
  </si>
  <si>
    <t>[2256]</t>
  </si>
  <si>
    <t>Overeaters Anonymous</t>
  </si>
  <si>
    <t>Pacsun</t>
  </si>
  <si>
    <t>Padgett Business Services</t>
  </si>
  <si>
    <t>[1489]</t>
  </si>
  <si>
    <t>Painewebber</t>
  </si>
  <si>
    <t>[1323]</t>
  </si>
  <si>
    <t>Pak Mail Center</t>
  </si>
  <si>
    <t>[1184]</t>
  </si>
  <si>
    <t>Panda Express</t>
  </si>
  <si>
    <t>[237]</t>
  </si>
  <si>
    <t>Papa Murphy's Take 'N' Bake Pi</t>
  </si>
  <si>
    <t>Parents Without Partners</t>
  </si>
  <si>
    <t>Pepsi-Cola Bottling Co</t>
  </si>
  <si>
    <t>[2847]</t>
  </si>
  <si>
    <t>Perfumania</t>
  </si>
  <si>
    <t>Petco Animal Supplies</t>
  </si>
  <si>
    <t>[1873]</t>
  </si>
  <si>
    <t>Phillips 66</t>
  </si>
  <si>
    <t>Piggly Wiggly</t>
  </si>
  <si>
    <t>Pizza Inn</t>
  </si>
  <si>
    <t>Pizza Plus</t>
  </si>
  <si>
    <t>Planned Parenthood</t>
  </si>
  <si>
    <t>[926]</t>
  </si>
  <si>
    <t>Praxair</t>
  </si>
  <si>
    <t>Pretzel Time</t>
  </si>
  <si>
    <t>The Principal Financial Group</t>
  </si>
  <si>
    <t>Pro-Cuts</t>
  </si>
  <si>
    <t>Property Damage Appraisers</t>
  </si>
  <si>
    <t>Prudential Real Estate</t>
  </si>
  <si>
    <t>Deactivated 2013-02-12 - Wacho</t>
  </si>
  <si>
    <t>Pulte Homes</t>
  </si>
  <si>
    <t>Q Lube</t>
  </si>
  <si>
    <t>DEACTIVATED 2013-03-29 - Quick</t>
  </si>
  <si>
    <t>Quizno's</t>
  </si>
  <si>
    <t>Rack Room Shoes</t>
  </si>
  <si>
    <t>Rainbow International Restorat</t>
  </si>
  <si>
    <t>Rally's Hamburgers</t>
  </si>
  <si>
    <t>Ramada Inn</t>
  </si>
  <si>
    <t>Record Town</t>
  </si>
  <si>
    <t>[863]</t>
  </si>
  <si>
    <t>Red Wing Shoes</t>
  </si>
  <si>
    <t>Regions Bank</t>
  </si>
  <si>
    <t>Remedy Intelligent Staffing</t>
  </si>
  <si>
    <t>Rgis</t>
  </si>
  <si>
    <t>[2765]</t>
  </si>
  <si>
    <t>Raymond James Financial Servic</t>
  </si>
  <si>
    <t>Rocky Mountain Chocolate Facto</t>
  </si>
  <si>
    <t>[576]</t>
  </si>
  <si>
    <t>Round Table Pizza</t>
  </si>
  <si>
    <t>Ruby Tuesday</t>
  </si>
  <si>
    <t>Ryan Homes</t>
  </si>
  <si>
    <t>Calatlantic Homes</t>
  </si>
  <si>
    <t>SafeGuard</t>
  </si>
  <si>
    <t>Safety-Kleen</t>
  </si>
  <si>
    <t>[1433]</t>
  </si>
  <si>
    <t>Safeway</t>
  </si>
  <si>
    <t>Sam Goody</t>
  </si>
  <si>
    <t>Sam's Club</t>
  </si>
  <si>
    <t>Security Finance</t>
  </si>
  <si>
    <t>Sentry Insurance</t>
  </si>
  <si>
    <t>Shell</t>
  </si>
  <si>
    <t>Signs Now</t>
  </si>
  <si>
    <t>[2382]</t>
  </si>
  <si>
    <t>Sizes Unlimited</t>
  </si>
  <si>
    <t>Small Business Administration</t>
  </si>
  <si>
    <t>[2863]</t>
  </si>
  <si>
    <t>Morgan Stanley Smith Barney</t>
  </si>
  <si>
    <t>Smith's</t>
  </si>
  <si>
    <t>Snelling Staffing Services</t>
  </si>
  <si>
    <t>Software Etc</t>
  </si>
  <si>
    <t>[721]</t>
  </si>
  <si>
    <t>Spencer's</t>
  </si>
  <si>
    <t>Sprint</t>
  </si>
  <si>
    <t>Stage Stores</t>
  </si>
  <si>
    <t>[1246]</t>
  </si>
  <si>
    <t>Sterling Optical</t>
  </si>
  <si>
    <t>Stride Rite</t>
  </si>
  <si>
    <t>Structure</t>
  </si>
  <si>
    <t>Sunamerica</t>
  </si>
  <si>
    <t>Suncoast Motion Picture Co</t>
  </si>
  <si>
    <t>SunTrust Bank</t>
  </si>
  <si>
    <t>Sweet Factory</t>
  </si>
  <si>
    <t>T.J.Maxx</t>
  </si>
  <si>
    <t>Taco John's</t>
  </si>
  <si>
    <t>Taco Time</t>
  </si>
  <si>
    <t>Talbots</t>
  </si>
  <si>
    <t>Terra Industries</t>
  </si>
  <si>
    <t>T.G.I. Friday's</t>
  </si>
  <si>
    <t>Tractor Supply Co.</t>
  </si>
  <si>
    <t>[2785]</t>
  </si>
  <si>
    <t>Transamerica</t>
  </si>
  <si>
    <t>Transamerica Occidental Life</t>
  </si>
  <si>
    <t>Tuffy Auto Service Center</t>
  </si>
  <si>
    <t>Tupperware Consultant</t>
  </si>
  <si>
    <t>Turner Construction</t>
  </si>
  <si>
    <t>[1225]</t>
  </si>
  <si>
    <t>Standard Register</t>
  </si>
  <si>
    <t>Uni-Mart</t>
  </si>
  <si>
    <t>Union Bank</t>
  </si>
  <si>
    <t>Union Pacific Railroad</t>
  </si>
  <si>
    <t>U.S. Cellular Authorized Agent</t>
  </si>
  <si>
    <t>United States Postal Service</t>
  </si>
  <si>
    <t>[1755]</t>
  </si>
  <si>
    <t>United Steelworkers of America</t>
  </si>
  <si>
    <t>Vistar Auto Glass</t>
  </si>
  <si>
    <t>Volunteers of America</t>
  </si>
  <si>
    <t>Grainger Industrial Supply</t>
  </si>
  <si>
    <t>Waddell &amp; Reed</t>
  </si>
  <si>
    <t>West Coast Video</t>
  </si>
  <si>
    <t>Western Sizzlin</t>
  </si>
  <si>
    <t>Westaff</t>
  </si>
  <si>
    <t>Whataburger</t>
  </si>
  <si>
    <t>Wicks'n'sticks</t>
  </si>
  <si>
    <t>[2636]</t>
  </si>
  <si>
    <t>Wild Birds Unlimited</t>
  </si>
  <si>
    <t>[1886]</t>
  </si>
  <si>
    <t>Wilsons Leather Outlet</t>
  </si>
  <si>
    <t>[1255]</t>
  </si>
  <si>
    <t>Deactivated 2013-02-12 - Wonde</t>
  </si>
  <si>
    <t>Woodmen of The World Represent</t>
  </si>
  <si>
    <t>World Savings &amp; Loan Associati</t>
  </si>
  <si>
    <t>Wright Line Representative</t>
  </si>
  <si>
    <t>[271]</t>
  </si>
  <si>
    <t>YMCA</t>
  </si>
  <si>
    <t>Ywca</t>
  </si>
  <si>
    <t>[838]</t>
  </si>
  <si>
    <t>Classic Cleaners</t>
  </si>
  <si>
    <t>[2429]</t>
  </si>
  <si>
    <t>Ann Taylor</t>
  </si>
  <si>
    <t>Boc Gases</t>
  </si>
  <si>
    <t>Childtime Daycare Center</t>
  </si>
  <si>
    <t>Chuck E. Cheese's</t>
  </si>
  <si>
    <t>Convenient Food Mart</t>
  </si>
  <si>
    <t>Farmers &amp; Merchants Bank</t>
  </si>
  <si>
    <t>Marriott Hotels &amp; Resorts</t>
  </si>
  <si>
    <t>Oakwood Homes</t>
  </si>
  <si>
    <t>Party City</t>
  </si>
  <si>
    <t>[1575]</t>
  </si>
  <si>
    <t>Pnc Mortgage</t>
  </si>
  <si>
    <t>TruGreen</t>
  </si>
  <si>
    <t>[2316]</t>
  </si>
  <si>
    <t>Allied Home Mortgage Capital C</t>
  </si>
  <si>
    <t>American Home Loans</t>
  </si>
  <si>
    <t>Arbor Drugs</t>
  </si>
  <si>
    <t>Bakers Shoe Store</t>
  </si>
  <si>
    <t>Big Apple Bagels</t>
  </si>
  <si>
    <t>Blue Cross &amp; Blue Shield</t>
  </si>
  <si>
    <t>[125]</t>
  </si>
  <si>
    <t>Braum's Ice Cream &amp; Dairy</t>
  </si>
  <si>
    <t>Buckle</t>
  </si>
  <si>
    <t>Carter Lumber</t>
  </si>
  <si>
    <t>[2768]</t>
  </si>
  <si>
    <t>Central Parking System</t>
  </si>
  <si>
    <t>Checker Auto Parts</t>
  </si>
  <si>
    <t>Chesapeake Bagel Bakery</t>
  </si>
  <si>
    <t>Civil Air Patrol</t>
  </si>
  <si>
    <t>[2860]</t>
  </si>
  <si>
    <t>Colonial Bank</t>
  </si>
  <si>
    <t>Con-Way Freight</t>
  </si>
  <si>
    <t>Concord Custom Cleaners</t>
  </si>
  <si>
    <t>Continental Airlines</t>
  </si>
  <si>
    <t>[728]</t>
  </si>
  <si>
    <t>CORT Furniture Rental</t>
  </si>
  <si>
    <t>Corvel</t>
  </si>
  <si>
    <t>Courtyard by Marriott</t>
  </si>
  <si>
    <t>Cpi One Hour Photo Finish</t>
  </si>
  <si>
    <t>Critter Control</t>
  </si>
  <si>
    <t>Farm Service Agency</t>
  </si>
  <si>
    <t>Farmers State Bank</t>
  </si>
  <si>
    <t>Fazoli's</t>
  </si>
  <si>
    <t>First Virginia Bank</t>
  </si>
  <si>
    <t>Glendale Federal Bank</t>
  </si>
  <si>
    <t>GMAC Mortgage</t>
  </si>
  <si>
    <t>Great Harvest Bread Co</t>
  </si>
  <si>
    <t>Greyhound Package Express</t>
  </si>
  <si>
    <t>[1758]</t>
  </si>
  <si>
    <t>Insty Prints</t>
  </si>
  <si>
    <t>[1849]</t>
  </si>
  <si>
    <t>Jefferson Pilot Life Ins Co</t>
  </si>
  <si>
    <t>Johnstone Supply</t>
  </si>
  <si>
    <t>[1332]</t>
  </si>
  <si>
    <t>Kits Camera &amp; Image</t>
  </si>
  <si>
    <t>Lawyers Title</t>
  </si>
  <si>
    <t>Luby's</t>
  </si>
  <si>
    <t>[236]</t>
  </si>
  <si>
    <t>Manhattan Bagel</t>
  </si>
  <si>
    <t>Marietta Martin Aggregates</t>
  </si>
  <si>
    <t>[2748]</t>
  </si>
  <si>
    <t>Marine Corps Recruiting</t>
  </si>
  <si>
    <t>HSBC Bank</t>
  </si>
  <si>
    <t>MCI Telecommunications Corp</t>
  </si>
  <si>
    <t>Medicap Pharmacy</t>
  </si>
  <si>
    <t>Moto Photo &amp; Portrait Studio</t>
  </si>
  <si>
    <t>[1935]</t>
  </si>
  <si>
    <t>Army National Guard</t>
  </si>
  <si>
    <t>The Nature Conservancy</t>
  </si>
  <si>
    <t>[1310]</t>
  </si>
  <si>
    <t>Norfolk Southern</t>
  </si>
  <si>
    <t>Norrell Staffing Services</t>
  </si>
  <si>
    <t>People's United Bank</t>
  </si>
  <si>
    <t>Petland Discounts</t>
  </si>
  <si>
    <t>PetSmart</t>
  </si>
  <si>
    <t>Pilgrim Cleaners</t>
  </si>
  <si>
    <t>Pizza King</t>
  </si>
  <si>
    <t>Portamedic</t>
  </si>
  <si>
    <t>RaceTrac</t>
  </si>
  <si>
    <t>Rsc Equipment Rental</t>
  </si>
  <si>
    <t>Rollins Truck Rental</t>
  </si>
  <si>
    <t>Ryan's Steakhouse</t>
  </si>
  <si>
    <t>Schindler Group</t>
  </si>
  <si>
    <t>The Sleep Number Store by Sele</t>
  </si>
  <si>
    <t>[20]</t>
  </si>
  <si>
    <t>Shell Food Mart</t>
  </si>
  <si>
    <t>Shoe Show</t>
  </si>
  <si>
    <t>AT&amp;T Southwest</t>
  </si>
  <si>
    <t>[971]</t>
  </si>
  <si>
    <t>Sovereign Bank</t>
  </si>
  <si>
    <t>Standard Federal Bank</t>
  </si>
  <si>
    <t>Sundance Rehabilitation</t>
  </si>
  <si>
    <t>U-Store-It</t>
  </si>
  <si>
    <t>[1394]</t>
  </si>
  <si>
    <t>United Studios of Self Defense</t>
  </si>
  <si>
    <t>[1773]</t>
  </si>
  <si>
    <t>Volt Information Sciences</t>
  </si>
  <si>
    <t>Weichert Realtors</t>
  </si>
  <si>
    <t>Western &amp; Southern Life Insura</t>
  </si>
  <si>
    <t>WIC State Agency</t>
  </si>
  <si>
    <t>[928]</t>
  </si>
  <si>
    <t>World Gym Fitness Center</t>
  </si>
  <si>
    <t>Nine West</t>
  </si>
  <si>
    <t>CITIBANK</t>
  </si>
  <si>
    <t>Comerica Bank</t>
  </si>
  <si>
    <t>Mercantile Bank</t>
  </si>
  <si>
    <t>A&amp;P Food Store</t>
  </si>
  <si>
    <t>ADP Small Business Services</t>
  </si>
  <si>
    <t>[1495]</t>
  </si>
  <si>
    <t>Air Liquide America</t>
  </si>
  <si>
    <t>Independent Amsoil Dealer</t>
  </si>
  <si>
    <t>[1161]</t>
  </si>
  <si>
    <t>Au Bon Pain</t>
  </si>
  <si>
    <t>Bed Bath &amp; Beyond</t>
  </si>
  <si>
    <t>Better Business Bureau</t>
  </si>
  <si>
    <t>[2483]</t>
  </si>
  <si>
    <t>Cintas Corporation</t>
  </si>
  <si>
    <t>Cisco Systems Inc.</t>
  </si>
  <si>
    <t>David Weekley Homes</t>
  </si>
  <si>
    <t>Columbia Gas Transmission</t>
  </si>
  <si>
    <t>[1432]</t>
  </si>
  <si>
    <t>Travelodge</t>
  </si>
  <si>
    <t>Contempo Casuals</t>
  </si>
  <si>
    <t>Nuance Communications</t>
  </si>
  <si>
    <t>[254]</t>
  </si>
  <si>
    <t>Grand Rental Station</t>
  </si>
  <si>
    <t>Taylor Rental</t>
  </si>
  <si>
    <t>Huntington Learning Center</t>
  </si>
  <si>
    <t>Time Warner Cable</t>
  </si>
  <si>
    <t>[973]</t>
  </si>
  <si>
    <t>Togo's</t>
  </si>
  <si>
    <t>Wienerschnitzel</t>
  </si>
  <si>
    <t>Orange Julius</t>
  </si>
  <si>
    <t>I Can't Believe It's Yogurt</t>
  </si>
  <si>
    <t>Independent Kirby Distributor</t>
  </si>
  <si>
    <t>[1426]</t>
  </si>
  <si>
    <t>Mattress Discounters</t>
  </si>
  <si>
    <t>[2093]</t>
  </si>
  <si>
    <t>Kaman Industrial Technologies</t>
  </si>
  <si>
    <t>[798]</t>
  </si>
  <si>
    <t>Great American Cookies</t>
  </si>
  <si>
    <t>Helzberg Diamonds</t>
  </si>
  <si>
    <t>Wolf Camera &amp; Image</t>
  </si>
  <si>
    <t>Tandy Leather Factory</t>
  </si>
  <si>
    <t>[1256]</t>
  </si>
  <si>
    <t>Factory Card &amp; Party Outlet</t>
  </si>
  <si>
    <t>Thermogas</t>
  </si>
  <si>
    <t>Invest Financial</t>
  </si>
  <si>
    <t>Ecowater Systems</t>
  </si>
  <si>
    <t>[1367]</t>
  </si>
  <si>
    <t>Grand Union</t>
  </si>
  <si>
    <t>Private Industry Council</t>
  </si>
  <si>
    <t>[564]</t>
  </si>
  <si>
    <t>Bennigan's</t>
  </si>
  <si>
    <t>Bertucci's</t>
  </si>
  <si>
    <t>Big Boy</t>
  </si>
  <si>
    <t>Bresler's Ice Cream</t>
  </si>
  <si>
    <t>Canteen</t>
  </si>
  <si>
    <t>[1703]</t>
  </si>
  <si>
    <t>Carl's Jr.</t>
  </si>
  <si>
    <t>Carvel</t>
  </si>
  <si>
    <t>[2855]</t>
  </si>
  <si>
    <t>El Pollo Loco</t>
  </si>
  <si>
    <t>Fuddrucker's</t>
  </si>
  <si>
    <t>Haagen Dazs Ice Cream</t>
  </si>
  <si>
    <t>Jamba Juice</t>
  </si>
  <si>
    <t>The Original Pancake House</t>
  </si>
  <si>
    <t>Quincy's Family Steakhouse</t>
  </si>
  <si>
    <t>Rita's</t>
  </si>
  <si>
    <t>Shakey's Pizza Parlor</t>
  </si>
  <si>
    <t>Steak Escape</t>
  </si>
  <si>
    <t>Steak 'N Shake</t>
  </si>
  <si>
    <t>Steak-Out</t>
  </si>
  <si>
    <t>Tastee Freez</t>
  </si>
  <si>
    <t>White Castle</t>
  </si>
  <si>
    <t>A&amp;W Restaurant</t>
  </si>
  <si>
    <t>AAA Insurance</t>
  </si>
  <si>
    <t>Abercrombie &amp; Fitch</t>
  </si>
  <si>
    <t>Ajilon Professional Staffing</t>
  </si>
  <si>
    <t>Alamo Rent A Car</t>
  </si>
  <si>
    <t>American Postal Workers Union</t>
  </si>
  <si>
    <t>American Savings Bank</t>
  </si>
  <si>
    <t>Aramark</t>
  </si>
  <si>
    <t>Arthur Treacher's Fish &amp; Chips</t>
  </si>
  <si>
    <t>Bartlett Tree Experts</t>
  </si>
  <si>
    <t>[428]</t>
  </si>
  <si>
    <t>Beauticontrol Independent Cons</t>
  </si>
  <si>
    <t>Benihana</t>
  </si>
  <si>
    <t>Big 5 Sporting Goods</t>
  </si>
  <si>
    <t>Black Angus Steakhouse</t>
  </si>
  <si>
    <t>Brown's Chicken &amp; Pasta</t>
  </si>
  <si>
    <t>Calvary Chapel</t>
  </si>
  <si>
    <t>Caribou Coffee</t>
  </si>
  <si>
    <t>[1808]</t>
  </si>
  <si>
    <t>Cellularplus</t>
  </si>
  <si>
    <t>Commonwealth Land Title Insura</t>
  </si>
  <si>
    <t>Bbva Compass</t>
  </si>
  <si>
    <t>Bojangles'</t>
  </si>
  <si>
    <t>Swensen's Ice Cream</t>
  </si>
  <si>
    <t>Fox's Pizza Den</t>
  </si>
  <si>
    <t>Ground Round</t>
  </si>
  <si>
    <t>Hooters</t>
  </si>
  <si>
    <t>Longhorn Steakhouse</t>
  </si>
  <si>
    <t>Roy Rogers</t>
  </si>
  <si>
    <t>Mazzio's</t>
  </si>
  <si>
    <t>Pizza PRO</t>
  </si>
  <si>
    <t>Corningware Corelle Revere Sto</t>
  </si>
  <si>
    <t>Crabtree &amp; Evelyn</t>
  </si>
  <si>
    <t>Dial-A-Story</t>
  </si>
  <si>
    <t>Diebold</t>
  </si>
  <si>
    <t>[1023]</t>
  </si>
  <si>
    <t>ThyssenKrupp Elevator</t>
  </si>
  <si>
    <t>Dryclean USA</t>
  </si>
  <si>
    <t>Earl Scheib Paint &amp; Body</t>
  </si>
  <si>
    <t>[1286]</t>
  </si>
  <si>
    <t>Alabama Ag Credit</t>
  </si>
  <si>
    <t>Fisher Auto Parts</t>
  </si>
  <si>
    <t>Grease Monkey</t>
  </si>
  <si>
    <t>Haircrafters</t>
  </si>
  <si>
    <t>Hair Expressions</t>
  </si>
  <si>
    <t>[1411]</t>
  </si>
  <si>
    <t>Heavenly Ham</t>
  </si>
  <si>
    <t>[597]</t>
  </si>
  <si>
    <t>HoneyBaked Ham</t>
  </si>
  <si>
    <t>Kwik Fill</t>
  </si>
  <si>
    <t>Lids</t>
  </si>
  <si>
    <t>[1252]</t>
  </si>
  <si>
    <t>Lincoln Property Company</t>
  </si>
  <si>
    <t>Loomis</t>
  </si>
  <si>
    <t>[1470]</t>
  </si>
  <si>
    <t>Millers Outpost</t>
  </si>
  <si>
    <t>Mr. Electric</t>
  </si>
  <si>
    <t>[349]</t>
  </si>
  <si>
    <t>Office Depot</t>
  </si>
  <si>
    <t>Pagenet</t>
  </si>
  <si>
    <t>Parts Plus</t>
  </si>
  <si>
    <t>Retravision</t>
  </si>
  <si>
    <t>Rodeway Inn</t>
  </si>
  <si>
    <t>Sleep Inn</t>
  </si>
  <si>
    <t>Speedy Auto Service</t>
  </si>
  <si>
    <t>Square D Company</t>
  </si>
  <si>
    <t>[350]</t>
  </si>
  <si>
    <t>Pactiv</t>
  </si>
  <si>
    <t>[2012]</t>
  </si>
  <si>
    <t>Tennessee Valley Authority</t>
  </si>
  <si>
    <t>[2416]</t>
  </si>
  <si>
    <t>United Food &amp; Commercial Worke</t>
  </si>
  <si>
    <t>United Dairy Farmers</t>
  </si>
  <si>
    <t>United Insurance Company</t>
  </si>
  <si>
    <t>Wesco Distribution</t>
  </si>
  <si>
    <t>Weyerhaeuser</t>
  </si>
  <si>
    <t>[952]</t>
  </si>
  <si>
    <t>Wheat First Butcher Singer</t>
  </si>
  <si>
    <t>World Savings Bank</t>
  </si>
  <si>
    <t>Krystal</t>
  </si>
  <si>
    <t>Amy's Hallmark Shop</t>
  </si>
  <si>
    <t>Smog Busters</t>
  </si>
  <si>
    <t>[493]</t>
  </si>
  <si>
    <t>Old Navy</t>
  </si>
  <si>
    <t>Longs Drugs</t>
  </si>
  <si>
    <t>Wells Fargo Home Mortgage</t>
  </si>
  <si>
    <t>Baja Fresh Mexican Grill</t>
  </si>
  <si>
    <t>Crown Castle International</t>
  </si>
  <si>
    <t>Liberty Tax Service</t>
  </si>
  <si>
    <t>Younkers</t>
  </si>
  <si>
    <t>Smartstyle Family Hair Salon</t>
  </si>
  <si>
    <t>F.Y.E.</t>
  </si>
  <si>
    <t>Kirkland's</t>
  </si>
  <si>
    <t>[18]</t>
  </si>
  <si>
    <t>Panera Bread</t>
  </si>
  <si>
    <t>Corner Bakery Cafe</t>
  </si>
  <si>
    <t>[229]</t>
  </si>
  <si>
    <t>Trader Joe's</t>
  </si>
  <si>
    <t>Advance America</t>
  </si>
  <si>
    <t>Alltel</t>
  </si>
  <si>
    <t>BB&amp;T</t>
  </si>
  <si>
    <t>Budget Truck Rental</t>
  </si>
  <si>
    <t>Cingular Wireless</t>
  </si>
  <si>
    <t>OneMain Financial</t>
  </si>
  <si>
    <t>O'Reilly Auto Parts</t>
  </si>
  <si>
    <t>T-Mobile</t>
  </si>
  <si>
    <t>[1011]</t>
  </si>
  <si>
    <t>Verizon Wireless</t>
  </si>
  <si>
    <t>Waste Management</t>
  </si>
  <si>
    <t>Lowe's Home Improvement</t>
  </si>
  <si>
    <t>Dippin' Dots</t>
  </si>
  <si>
    <t>Cold Stone Creamery</t>
  </si>
  <si>
    <t>Sav-On Pharmacy</t>
  </si>
  <si>
    <t>Charter One Bank</t>
  </si>
  <si>
    <t>Save-A-Lot</t>
  </si>
  <si>
    <t>Chipotle Mexican Grill</t>
  </si>
  <si>
    <t>Hair Cuttery</t>
  </si>
  <si>
    <t>Macy's</t>
  </si>
  <si>
    <t>WW Weight Watchers</t>
  </si>
  <si>
    <t>Home Instead Senior Care</t>
  </si>
  <si>
    <t>Kragen Auto Parts</t>
  </si>
  <si>
    <t>[45]</t>
  </si>
  <si>
    <t>Trade Secret</t>
  </si>
  <si>
    <t>Highway Technologies</t>
  </si>
  <si>
    <t>[2386]</t>
  </si>
  <si>
    <t>United Rentals Aerial Equipmen</t>
  </si>
  <si>
    <t>[2172]</t>
  </si>
  <si>
    <t>United Rentals Trench Safety</t>
  </si>
  <si>
    <t>[1055]</t>
  </si>
  <si>
    <t>United Rentals</t>
  </si>
  <si>
    <t>Regal Nails</t>
  </si>
  <si>
    <t>[368]</t>
  </si>
  <si>
    <t>Signarama</t>
  </si>
  <si>
    <t>Rentway</t>
  </si>
  <si>
    <t>American Tower</t>
  </si>
  <si>
    <t>American General Life Company</t>
  </si>
  <si>
    <t>[138]</t>
  </si>
  <si>
    <t>GameStop</t>
  </si>
  <si>
    <t>[1464]</t>
  </si>
  <si>
    <t>Charter Communications</t>
  </si>
  <si>
    <t>Comfort Keepers</t>
  </si>
  <si>
    <t>[2820]</t>
  </si>
  <si>
    <t>Harmon Autoglass</t>
  </si>
  <si>
    <t>Yrc</t>
  </si>
  <si>
    <t>Dex One</t>
  </si>
  <si>
    <t>[1855]</t>
  </si>
  <si>
    <t>M&amp;T Bank</t>
  </si>
  <si>
    <t>The Body Shop</t>
  </si>
  <si>
    <t>[447]</t>
  </si>
  <si>
    <t>1-800-Flowers.Com</t>
  </si>
  <si>
    <t>[116]</t>
  </si>
  <si>
    <t>Zaxby's Chicken Fingers &amp; Buff</t>
  </si>
  <si>
    <t>O'charley's</t>
  </si>
  <si>
    <t>Penn Station East Coast Subs</t>
  </si>
  <si>
    <t>Jersey Mike's Subs</t>
  </si>
  <si>
    <t>Philly Connection</t>
  </si>
  <si>
    <t>Roly Poly</t>
  </si>
  <si>
    <t>Jimmy John's</t>
  </si>
  <si>
    <t>Gatti's Pizza</t>
  </si>
  <si>
    <t>Famous Dave's Bar-B-Que</t>
  </si>
  <si>
    <t>[235]</t>
  </si>
  <si>
    <t>Wingstop</t>
  </si>
  <si>
    <t>Beef 'O' Brady's</t>
  </si>
  <si>
    <t>Studioplus Deluxe Studios</t>
  </si>
  <si>
    <t>Americinn</t>
  </si>
  <si>
    <t>La Quinta Inn &amp; Suites by Wynd</t>
  </si>
  <si>
    <t>[165]</t>
  </si>
  <si>
    <t>Mayo Clinic</t>
  </si>
  <si>
    <t>[511]</t>
  </si>
  <si>
    <t>Ochsner Clinic Foundation</t>
  </si>
  <si>
    <t>[2815]</t>
  </si>
  <si>
    <t>Cleveland Clinic</t>
  </si>
  <si>
    <t>Sisters of Saint Joseph</t>
  </si>
  <si>
    <t>Sisters of Notre Dame</t>
  </si>
  <si>
    <t>[420]</t>
  </si>
  <si>
    <t>Community of Christ</t>
  </si>
  <si>
    <t>Sisters of St. Francis Health</t>
  </si>
  <si>
    <t>J. D. Byrider</t>
  </si>
  <si>
    <t>[1]</t>
  </si>
  <si>
    <t>America's Car-Mart</t>
  </si>
  <si>
    <t>[4]</t>
  </si>
  <si>
    <t>Reed Smith</t>
  </si>
  <si>
    <t>[1783]</t>
  </si>
  <si>
    <t>Bass Berry &amp; Sims</t>
  </si>
  <si>
    <t>Pepper Hamilton</t>
  </si>
  <si>
    <t>Mcguirewoods</t>
  </si>
  <si>
    <t>[1784]</t>
  </si>
  <si>
    <t>Steptoe &amp; Johnson</t>
  </si>
  <si>
    <t>Visible Changes</t>
  </si>
  <si>
    <t>Best Cuts</t>
  </si>
  <si>
    <t>Perfect Look</t>
  </si>
  <si>
    <t>Style America</t>
  </si>
  <si>
    <t>Conroy's Flowers</t>
  </si>
  <si>
    <t>Home Federal Bank</t>
  </si>
  <si>
    <t>Fidelity Bank</t>
  </si>
  <si>
    <t>Hudson United Bank</t>
  </si>
  <si>
    <t>Td Bank</t>
  </si>
  <si>
    <t>Guaranty Bank</t>
  </si>
  <si>
    <t>Umpqua Bank</t>
  </si>
  <si>
    <t>Republic Bank</t>
  </si>
  <si>
    <t>Commerce Bank</t>
  </si>
  <si>
    <t>UMB Bank</t>
  </si>
  <si>
    <t>Dollar Bank</t>
  </si>
  <si>
    <t>Southtrust Bank</t>
  </si>
  <si>
    <t>BancorpSouth</t>
  </si>
  <si>
    <t>M&amp;I Bank</t>
  </si>
  <si>
    <t>Flagstar Bank</t>
  </si>
  <si>
    <t>First Tennessee Bank</t>
  </si>
  <si>
    <t>Carolina First Bank</t>
  </si>
  <si>
    <t>Arvest Bank</t>
  </si>
  <si>
    <t>Lasalle Bank</t>
  </si>
  <si>
    <t>Webster Bank</t>
  </si>
  <si>
    <t>[299]</t>
  </si>
  <si>
    <t>Heights Finance</t>
  </si>
  <si>
    <t>Title Cash</t>
  </si>
  <si>
    <t>Equity One</t>
  </si>
  <si>
    <t>Full Spectrum Lending</t>
  </si>
  <si>
    <t>Walmart Supercenter</t>
  </si>
  <si>
    <t>Deactivated 2013-02-12 - After</t>
  </si>
  <si>
    <t>[1734]</t>
  </si>
  <si>
    <t>Banfield Pet Hospital</t>
  </si>
  <si>
    <t>[141]</t>
  </si>
  <si>
    <t>A�ropostale</t>
  </si>
  <si>
    <t>Localnet</t>
  </si>
  <si>
    <t>[982]</t>
  </si>
  <si>
    <t>Direct SAT TV</t>
  </si>
  <si>
    <t>Budget Blinds</t>
  </si>
  <si>
    <t>[2673]</t>
  </si>
  <si>
    <t>D.R. Horton</t>
  </si>
  <si>
    <t>Menards</t>
  </si>
  <si>
    <t>Sears Optical</t>
  </si>
  <si>
    <t>Davita Dialysis Center</t>
  </si>
  <si>
    <t>[512]</t>
  </si>
  <si>
    <t>Toll Brothers</t>
  </si>
  <si>
    <t>Equity Corporate Housing</t>
  </si>
  <si>
    <t>Acceptance Insurance</t>
  </si>
  <si>
    <t>[129]</t>
  </si>
  <si>
    <t>Precision Door Service</t>
  </si>
  <si>
    <t>[969]</t>
  </si>
  <si>
    <t>Capital One</t>
  </si>
  <si>
    <t>Windstream</t>
  </si>
  <si>
    <t>[2505]</t>
  </si>
  <si>
    <t>ADT</t>
  </si>
  <si>
    <t>[1015]</t>
  </si>
  <si>
    <t>Advanced Testing Center</t>
  </si>
  <si>
    <t>Amtrak</t>
  </si>
  <si>
    <t>[1482]</t>
  </si>
  <si>
    <t>Bank of The West</t>
  </si>
  <si>
    <t>Parisian</t>
  </si>
  <si>
    <t>Pop-A-Lock</t>
  </si>
  <si>
    <t>[301]</t>
  </si>
  <si>
    <t>DISH Network</t>
  </si>
  <si>
    <t>C.J. Banks</t>
  </si>
  <si>
    <t>Spirit Halloween</t>
  </si>
  <si>
    <t>[554]</t>
  </si>
  <si>
    <t>Hoveround</t>
  </si>
  <si>
    <t>[1291]</t>
  </si>
  <si>
    <t>Pella Windows &amp; Doors</t>
  </si>
  <si>
    <t>[2590]</t>
  </si>
  <si>
    <t>La Weight Loss Center</t>
  </si>
  <si>
    <t>Ethan Allen</t>
  </si>
  <si>
    <t>Del Taco</t>
  </si>
  <si>
    <t>Dillard's</t>
  </si>
  <si>
    <t>GEICO</t>
  </si>
  <si>
    <t>Discount Tire</t>
  </si>
  <si>
    <t>American Leak Detection</t>
  </si>
  <si>
    <t>[2724]</t>
  </si>
  <si>
    <t>Ben &amp; Jerry's</t>
  </si>
  <si>
    <t>Hollywood Tans</t>
  </si>
  <si>
    <t>[2629]</t>
  </si>
  <si>
    <t>CompUSA</t>
  </si>
  <si>
    <t>Accountemps</t>
  </si>
  <si>
    <t>1st Mariner Bank</t>
  </si>
  <si>
    <t>Best Western</t>
  </si>
  <si>
    <t>Fresh Choice</t>
  </si>
  <si>
    <t>La Rosa Del Monte</t>
  </si>
  <si>
    <t>Molly Maid</t>
  </si>
  <si>
    <t>[2555]</t>
  </si>
  <si>
    <t>Neiman Marcus</t>
  </si>
  <si>
    <t>Allegra Print &amp; Imaging</t>
  </si>
  <si>
    <t>Anchorbank</t>
  </si>
  <si>
    <t>Aussie Pet Mobile</t>
  </si>
  <si>
    <t>[1884]</t>
  </si>
  <si>
    <t>Bank of Stockton</t>
  </si>
  <si>
    <t>Candy Bouquet</t>
  </si>
  <si>
    <t>[690]</t>
  </si>
  <si>
    <t>Cmit Solutions</t>
  </si>
  <si>
    <t>[906]</t>
  </si>
  <si>
    <t>Covan World-Wide Moving</t>
  </si>
  <si>
    <t>Educational Outfitters</t>
  </si>
  <si>
    <t>[1448]</t>
  </si>
  <si>
    <t>ERA Real Estate</t>
  </si>
  <si>
    <t>First Weber</t>
  </si>
  <si>
    <t>Friendly Computers</t>
  </si>
  <si>
    <t>[718]</t>
  </si>
  <si>
    <t>Global Van Lines</t>
  </si>
  <si>
    <t>Graebel</t>
  </si>
  <si>
    <t>Green Mill</t>
  </si>
  <si>
    <t>[1100]</t>
  </si>
  <si>
    <t>Howard Hanna Real Estate</t>
  </si>
  <si>
    <t>Ingles</t>
  </si>
  <si>
    <t>Labor Finders</t>
  </si>
  <si>
    <t>National Van Lines</t>
  </si>
  <si>
    <t>Nordstrom</t>
  </si>
  <si>
    <t>OfficeTeam</t>
  </si>
  <si>
    <t>Palm Beach Tan</t>
  </si>
  <si>
    <t>Peter Piper Pizza</t>
  </si>
  <si>
    <t>Pods</t>
  </si>
  <si>
    <t>Port of Subs</t>
  </si>
  <si>
    <t>Deactivated 2013-02-12 - Rbc C</t>
  </si>
  <si>
    <t>Rockland Trust</t>
  </si>
  <si>
    <t>Rsvp</t>
  </si>
  <si>
    <t>[785]</t>
  </si>
  <si>
    <t>Rx Plus</t>
  </si>
  <si>
    <t>[191]</t>
  </si>
  <si>
    <t>Shazam</t>
  </si>
  <si>
    <t>Sonitrol</t>
  </si>
  <si>
    <t>Southco</t>
  </si>
  <si>
    <t>Spherion</t>
  </si>
  <si>
    <t>Sport Clips</t>
  </si>
  <si>
    <t>Taco Del Mar</t>
  </si>
  <si>
    <t>Talent Tree</t>
  </si>
  <si>
    <t>Tarbell, Realtors</t>
  </si>
  <si>
    <t>Truly Nolen</t>
  </si>
  <si>
    <t>Ubuildit</t>
  </si>
  <si>
    <t>[2263]</t>
  </si>
  <si>
    <t>Window Genie</t>
  </si>
  <si>
    <t>[2566]</t>
  </si>
  <si>
    <t>Wireless Toyz</t>
  </si>
  <si>
    <t>[1001]</t>
  </si>
  <si>
    <t>Color Me Mine</t>
  </si>
  <si>
    <t>Home Helpers</t>
  </si>
  <si>
    <t>National Bank of Commerce</t>
  </si>
  <si>
    <t>Edible Arrangements</t>
  </si>
  <si>
    <t>Airtran Airways</t>
  </si>
  <si>
    <t>America's Best Inns and Suites</t>
  </si>
  <si>
    <t>Appleone</t>
  </si>
  <si>
    <t>Avery-Hess Realtors</t>
  </si>
  <si>
    <t>Avianca</t>
  </si>
  <si>
    <t>Azteca</t>
  </si>
  <si>
    <t>Big O Tires</t>
  </si>
  <si>
    <t>Buca Di Beppo</t>
  </si>
  <si>
    <t>Camille's Sidewalk Cafe</t>
  </si>
  <si>
    <t>Cirrus Aircraft</t>
  </si>
  <si>
    <t>[2133]</t>
  </si>
  <si>
    <t>Comet Cleaners</t>
  </si>
  <si>
    <t>Culver's</t>
  </si>
  <si>
    <t>First Choice Hair</t>
  </si>
  <si>
    <t>First Dakota National Bank</t>
  </si>
  <si>
    <t>First Federal Bank of Californ</t>
  </si>
  <si>
    <t>Freedom Boat Club</t>
  </si>
  <si>
    <t>[823]</t>
  </si>
  <si>
    <t>Gotcha Covered</t>
  </si>
  <si>
    <t>[2671]</t>
  </si>
  <si>
    <t>Grange</t>
  </si>
  <si>
    <t>Granite Transformations</t>
  </si>
  <si>
    <t>[2674]</t>
  </si>
  <si>
    <t>Hobbytown USA</t>
  </si>
  <si>
    <t>[2006]</t>
  </si>
  <si>
    <t>Juice It Up!</t>
  </si>
  <si>
    <t>[594]</t>
  </si>
  <si>
    <t>Kaba</t>
  </si>
  <si>
    <t>[305]</t>
  </si>
  <si>
    <t>Lendingtree</t>
  </si>
  <si>
    <t>Lifeway Christian Store</t>
  </si>
  <si>
    <t>[1740]</t>
  </si>
  <si>
    <t>Maid to Perfection</t>
  </si>
  <si>
    <t>Marsh Supermarkets</t>
  </si>
  <si>
    <t>Namb</t>
  </si>
  <si>
    <t>Northwest Airlines</t>
  </si>
  <si>
    <t>Papa Gino's</t>
  </si>
  <si>
    <t>QVC</t>
  </si>
  <si>
    <t>Saudi Arabian Airlines</t>
  </si>
  <si>
    <t>Stater Bros.</t>
  </si>
  <si>
    <t>Tjx</t>
  </si>
  <si>
    <t>Vanguard Cleaning</t>
  </si>
  <si>
    <t>[2543]</t>
  </si>
  <si>
    <t>Washington Federal</t>
  </si>
  <si>
    <t>Weed Man</t>
  </si>
  <si>
    <t>Weis Markets</t>
  </si>
  <si>
    <t>Wheel Fun Rentals</t>
  </si>
  <si>
    <t>[1747]</t>
  </si>
  <si>
    <t>Window Gang</t>
  </si>
  <si>
    <t>[2531]</t>
  </si>
  <si>
    <t>1-800-DryClean</t>
  </si>
  <si>
    <t>1-800-Got-Junk?</t>
  </si>
  <si>
    <t>Accountants International</t>
  </si>
  <si>
    <t>Environmental Service Professi</t>
  </si>
  <si>
    <t>[2879]</t>
  </si>
  <si>
    <t>Aerotek</t>
  </si>
  <si>
    <t>Aheadhr</t>
  </si>
  <si>
    <t>Air France</t>
  </si>
  <si>
    <t>Air New Zealand</t>
  </si>
  <si>
    <t>The Alternative Board</t>
  </si>
  <si>
    <t>[2758]</t>
  </si>
  <si>
    <t>Altracolor</t>
  </si>
  <si>
    <t>American Asphalt Sealcoating</t>
  </si>
  <si>
    <t>[2680]</t>
  </si>
  <si>
    <t>Amerihost Inn</t>
  </si>
  <si>
    <t>Anago</t>
  </si>
  <si>
    <t>Anchorblue</t>
  </si>
  <si>
    <t>Andy Oncall</t>
  </si>
  <si>
    <t>[1064]</t>
  </si>
  <si>
    <t>Archadeck</t>
  </si>
  <si>
    <t>[2298]</t>
  </si>
  <si>
    <t>Asheville Savings Bank</t>
  </si>
  <si>
    <t>Atlanta Bread Company</t>
  </si>
  <si>
    <t>Auto-Owners Insurance</t>
  </si>
  <si>
    <t>Bahama Breeze</t>
  </si>
  <si>
    <t>Baird</t>
  </si>
  <si>
    <t>Bark Busters</t>
  </si>
  <si>
    <t>[1888]</t>
  </si>
  <si>
    <t>Barnie's Coffee &amp; Tea</t>
  </si>
  <si>
    <t>Benjamin Franklin Plumbing</t>
  </si>
  <si>
    <t>Bj's</t>
  </si>
  <si>
    <t>Blackjack Pizza</t>
  </si>
  <si>
    <t>Bob Sumerel Tire &amp; Service</t>
  </si>
  <si>
    <t>Bonus Building Care</t>
  </si>
  <si>
    <t>The Brickkicker</t>
  </si>
  <si>
    <t>[2876]</t>
  </si>
  <si>
    <t>Max Broock Realtors</t>
  </si>
  <si>
    <t>Buck's Pizza</t>
  </si>
  <si>
    <t>Buildingstars</t>
  </si>
  <si>
    <t>Carbone's Pizzeria</t>
  </si>
  <si>
    <t>Carls Furniture &amp; Design</t>
  </si>
  <si>
    <t>Cendant Corporation</t>
  </si>
  <si>
    <t>[1468]</t>
  </si>
  <si>
    <t>Charley's Grilled Subs</t>
  </si>
  <si>
    <t>Charming Shoppes, Inc</t>
  </si>
  <si>
    <t>Chem-Dry</t>
  </si>
  <si>
    <t>Chevy's Fresh Mex</t>
  </si>
  <si>
    <t>Citizens Bank</t>
  </si>
  <si>
    <t>Citizens State Bank</t>
  </si>
  <si>
    <t>City National Bank</t>
  </si>
  <si>
    <t>The Cleaning Authority</t>
  </si>
  <si>
    <t>Club Z!</t>
  </si>
  <si>
    <t>Coffee News</t>
  </si>
  <si>
    <t>[773]</t>
  </si>
  <si>
    <t>Colors On Parade</t>
  </si>
  <si>
    <t>Complete Music &amp; Complete Vide</t>
  </si>
  <si>
    <t>[2288]</t>
  </si>
  <si>
    <t>Computer Troubleshooters</t>
  </si>
  <si>
    <t>Computer Explorers</t>
  </si>
  <si>
    <t>[905]</t>
  </si>
  <si>
    <t>Consol Energy</t>
  </si>
  <si>
    <t>[1175]</t>
  </si>
  <si>
    <t>Costco</t>
  </si>
  <si>
    <t>Country Inn &amp; Suites by Radiss</t>
  </si>
  <si>
    <t>Cousins Subs</t>
  </si>
  <si>
    <t>Creative Colors International</t>
  </si>
  <si>
    <t>Crestcom</t>
  </si>
  <si>
    <t>[2763]</t>
  </si>
  <si>
    <t>D'Angelo</t>
  </si>
  <si>
    <t>Market Basket</t>
  </si>
  <si>
    <t>The Dentist's Choice</t>
  </si>
  <si>
    <t>[2396]</t>
  </si>
  <si>
    <t>Directbuy</t>
  </si>
  <si>
    <t>[2650]</t>
  </si>
  <si>
    <t>Discount Drug Mart</t>
  </si>
  <si>
    <t>Doubletree by Hilton</t>
  </si>
  <si>
    <t>Dr. Vinyl</t>
  </si>
  <si>
    <t>[2909]</t>
  </si>
  <si>
    <t>Dry Cleaning To-Your-Door</t>
  </si>
  <si>
    <t>Duct Doctor USA</t>
  </si>
  <si>
    <t>[2550]</t>
  </si>
  <si>
    <t>Duraclean</t>
  </si>
  <si>
    <t>Eagle Home Mortgage</t>
  </si>
  <si>
    <t>Embassy Suites</t>
  </si>
  <si>
    <t>Embroidme</t>
  </si>
  <si>
    <t>E.Nopi</t>
  </si>
  <si>
    <t>The Entrepreneur's Source</t>
  </si>
  <si>
    <t>Epic Pharmacies</t>
  </si>
  <si>
    <t>Erie Insurance</t>
  </si>
  <si>
    <t>Executive Tans</t>
  </si>
  <si>
    <t>Fast-Fix Jewelry and Watch Rep</t>
  </si>
  <si>
    <t>[629]</t>
  </si>
  <si>
    <t>FastFrame</t>
  </si>
  <si>
    <t>[2657]</t>
  </si>
  <si>
    <t>Figaro's Pizza</t>
  </si>
  <si>
    <t>Firehouse Subs</t>
  </si>
  <si>
    <t>Firkin Pub</t>
  </si>
  <si>
    <t>[1104]</t>
  </si>
  <si>
    <t>First National Bank of Norther</t>
  </si>
  <si>
    <t>Fonville Morisey Realty</t>
  </si>
  <si>
    <t>Foot Solutions</t>
  </si>
  <si>
    <t>[743]</t>
  </si>
  <si>
    <t>Friendly's</t>
  </si>
  <si>
    <t>Gateway Newstands</t>
  </si>
  <si>
    <t>[1511]</t>
  </si>
  <si>
    <t>The Goddard School</t>
  </si>
  <si>
    <t>[1990]</t>
  </si>
  <si>
    <t>Golf Etc.</t>
  </si>
  <si>
    <t>[328]</t>
  </si>
  <si>
    <t>Golf USA</t>
  </si>
  <si>
    <t>Great Frame Up</t>
  </si>
  <si>
    <t>The Gutter Guys</t>
  </si>
  <si>
    <t>[613]</t>
  </si>
  <si>
    <t>H-E-B</t>
  </si>
  <si>
    <t>Happy Harry's</t>
  </si>
  <si>
    <t>Harris Teeter</t>
  </si>
  <si>
    <t>Harry Norman Realtors</t>
  </si>
  <si>
    <t>Hawthorn Suites by Wyndham</t>
  </si>
  <si>
    <t>Hayes</t>
  </si>
  <si>
    <t>Heaven's Best</t>
  </si>
  <si>
    <t>Hilton Hotels &amp; Resorts</t>
  </si>
  <si>
    <t>Home Cleaning Centers of Ameri</t>
  </si>
  <si>
    <t>Hsn</t>
  </si>
  <si>
    <t>Homestreet Bank</t>
  </si>
  <si>
    <t>Hometeam Inspection Services</t>
  </si>
  <si>
    <t>[2880]</t>
  </si>
  <si>
    <t>Hometown Buffet</t>
  </si>
  <si>
    <t>Hy-Vee</t>
  </si>
  <si>
    <t>IKEA</t>
  </si>
  <si>
    <t>Inspect-It 1st</t>
  </si>
  <si>
    <t>Interface Financial Group</t>
  </si>
  <si>
    <t>Island Ink-Jet</t>
  </si>
  <si>
    <t>It?S A Grind Coffee House</t>
  </si>
  <si>
    <t>Jack Gaughen Realtor</t>
  </si>
  <si>
    <t>Jani-King</t>
  </si>
  <si>
    <t>[2528]</t>
  </si>
  <si>
    <t>Janney Montgomery Scott</t>
  </si>
  <si>
    <t>Jantize</t>
  </si>
  <si>
    <t>Jerry's Subs &amp; Pizza</t>
  </si>
  <si>
    <t>Jet-Black</t>
  </si>
  <si>
    <t>[1976]</t>
  </si>
  <si>
    <t>Carino's</t>
  </si>
  <si>
    <t>Johnny Rockets</t>
  </si>
  <si>
    <t>Just-A-Buck</t>
  </si>
  <si>
    <t>Keller Williams Realty</t>
  </si>
  <si>
    <t>Kitchen Tune-Up</t>
  </si>
  <si>
    <t>Ledo Pizza</t>
  </si>
  <si>
    <t>Lincoln Financial Group</t>
  </si>
  <si>
    <t>Line-X</t>
  </si>
  <si>
    <t>[473]</t>
  </si>
  <si>
    <t>Lufthansa</t>
  </si>
  <si>
    <t>Mad Science</t>
  </si>
  <si>
    <t>MaggieMoo's</t>
  </si>
  <si>
    <t>Magnetsigns</t>
  </si>
  <si>
    <t>Maid Brigade</t>
  </si>
  <si>
    <t>Marble Slab Creamery</t>
  </si>
  <si>
    <t>Marco's Pizza</t>
  </si>
  <si>
    <t>Marie Callender's</t>
  </si>
  <si>
    <t>[239]</t>
  </si>
  <si>
    <t>Master Care Facility Services</t>
  </si>
  <si>
    <t>Matco Tools</t>
  </si>
  <si>
    <t>The Melting Pot</t>
  </si>
  <si>
    <t>Merlin 200,000 Mile Shop</t>
  </si>
  <si>
    <t>Mexicana</t>
  </si>
  <si>
    <t>[1106]</t>
  </si>
  <si>
    <t>Michigan Works!</t>
  </si>
  <si>
    <t>[1413]</t>
  </si>
  <si>
    <t>Microtel Inns &amp; Suites</t>
  </si>
  <si>
    <t>Mighty Auto Parts</t>
  </si>
  <si>
    <t>Milex</t>
  </si>
  <si>
    <t>[474]</t>
  </si>
  <si>
    <t>Miracle Auto Painting &amp; Body R</t>
  </si>
  <si>
    <t>Miracle Method</t>
  </si>
  <si>
    <t>[2682]</t>
  </si>
  <si>
    <t>Mr. Goodcents Subs &amp; Pasta</t>
  </si>
  <si>
    <t>Mr. Handyman</t>
  </si>
  <si>
    <t>Mr. Hero</t>
  </si>
  <si>
    <t>Mr. Transmission</t>
  </si>
  <si>
    <t>National Groundwater Surveyor</t>
  </si>
  <si>
    <t>[1543]</t>
  </si>
  <si>
    <t>Nation's Giant Hamburgers</t>
  </si>
  <si>
    <t>Nationwide Floor &amp; Window Cove</t>
  </si>
  <si>
    <t>New Horizons Computer Learning</t>
  </si>
  <si>
    <t>New York &amp; Company</t>
  </si>
  <si>
    <t>Oil Butler</t>
  </si>
  <si>
    <t>Openworks: Commercial Cleaning</t>
  </si>
  <si>
    <t>[2560]</t>
  </si>
  <si>
    <t>Orchard Supply Hardware</t>
  </si>
  <si>
    <t>Pappadeaux</t>
  </si>
  <si>
    <t>Pappasito's Cantina</t>
  </si>
  <si>
    <t>Party America</t>
  </si>
  <si>
    <t>[1982]</t>
  </si>
  <si>
    <t>Arpin Van Lines</t>
  </si>
  <si>
    <t>Pillar To Post Home Inspectors</t>
  </si>
  <si>
    <t>Pizza Factory</t>
  </si>
  <si>
    <t>PostNet</t>
  </si>
  <si>
    <t>Pressed4time</t>
  </si>
  <si>
    <t>PRO Image</t>
  </si>
  <si>
    <t>Puroclean</t>
  </si>
  <si>
    <t>Radisson</t>
  </si>
  <si>
    <t>Raley's</t>
  </si>
  <si>
    <t>Realty Executives Internationa</t>
  </si>
  <si>
    <t>Re-Bath</t>
  </si>
  <si>
    <t>Renaissance Executive Forums</t>
  </si>
  <si>
    <t>[2496]</t>
  </si>
  <si>
    <t>Robeks</t>
  </si>
  <si>
    <t>Rooter-Man</t>
  </si>
  <si>
    <t>Stifel</t>
  </si>
  <si>
    <t>Saks Fifth Avenue</t>
  </si>
  <si>
    <t>Samuel Mancino's</t>
  </si>
  <si>
    <t>Screenmobile</t>
  </si>
  <si>
    <t>[2804]</t>
  </si>
  <si>
    <t>See's Candies Chocolate Shop</t>
  </si>
  <si>
    <t>[579]</t>
  </si>
  <si>
    <t>Servpro</t>
  </si>
  <si>
    <t>Shaw's</t>
  </si>
  <si>
    <t>ShopKo</t>
  </si>
  <si>
    <t>Signal Graphics</t>
  </si>
  <si>
    <t>Smart Service</t>
  </si>
  <si>
    <t>Smoothie King</t>
  </si>
  <si>
    <t>TSS Photography</t>
  </si>
  <si>
    <t>[637]</t>
  </si>
  <si>
    <t>Spring-Green</t>
  </si>
  <si>
    <t>[2308]</t>
  </si>
  <si>
    <t>SGO Designer Glass</t>
  </si>
  <si>
    <t>[2581]</t>
  </si>
  <si>
    <t>Street Corner</t>
  </si>
  <si>
    <t>Stretch-N-Grow</t>
  </si>
  <si>
    <t>[2595]</t>
  </si>
  <si>
    <t>SuperGlass Windshield Repair</t>
  </si>
  <si>
    <t>Supervalu</t>
  </si>
  <si>
    <t>Swisher Hygiene</t>
  </si>
  <si>
    <t>[2542]</t>
  </si>
  <si>
    <t>Taco Maker</t>
  </si>
  <si>
    <t>The Old Spaghetti Factory</t>
  </si>
  <si>
    <t>Kangaroo Express</t>
  </si>
  <si>
    <t>Tutor Time Child Care</t>
  </si>
  <si>
    <t>Two Men and A Truck</t>
  </si>
  <si>
    <t>Ubs</t>
  </si>
  <si>
    <t>Ultimate Staffing Services</t>
  </si>
  <si>
    <t>Unigroupworldwide</t>
  </si>
  <si>
    <t>United Shipping Solutions</t>
  </si>
  <si>
    <t>United States Seamless</t>
  </si>
  <si>
    <t>[2807]</t>
  </si>
  <si>
    <t>USA Mobility</t>
  </si>
  <si>
    <t>V2k</t>
  </si>
  <si>
    <t>Valley Bank</t>
  </si>
  <si>
    <t>Valpak</t>
  </si>
  <si>
    <t>[782]</t>
  </si>
  <si>
    <t>Visiting Angels</t>
  </si>
  <si>
    <t>Goportraits</t>
  </si>
  <si>
    <t>Waterfield</t>
  </si>
  <si>
    <t>Wegmans Food Pharmacy</t>
  </si>
  <si>
    <t>Wetzel's Pretzels</t>
  </si>
  <si>
    <t>Whole Foods Market</t>
  </si>
  <si>
    <t>Wild Bird Centers</t>
  </si>
  <si>
    <t>Wingate by Wyndham</t>
  </si>
  <si>
    <t>Woody's Barbq</t>
  </si>
  <si>
    <t>Win Home Inspection</t>
  </si>
  <si>
    <t>DHL</t>
  </si>
  <si>
    <t>Young Rembrandts</t>
  </si>
  <si>
    <t>[1396]</t>
  </si>
  <si>
    <t>First Bank</t>
  </si>
  <si>
    <t>Ace Rent A Car</t>
  </si>
  <si>
    <t>AeroMexico</t>
  </si>
  <si>
    <t>Ahold</t>
  </si>
  <si>
    <t>AIM Mail Centers</t>
  </si>
  <si>
    <t>Aire-Master</t>
  </si>
  <si>
    <t>[2559]</t>
  </si>
  <si>
    <t>Alphagraphics</t>
  </si>
  <si>
    <t>American Red Ball</t>
  </si>
  <si>
    <t>Ames True Temper</t>
  </si>
  <si>
    <t>[2315]</t>
  </si>
  <si>
    <t>Bankunited</t>
  </si>
  <si>
    <t>Batteries Plus Bulbs</t>
  </si>
  <si>
    <t>[64]</t>
  </si>
  <si>
    <t>Booster Juice</t>
  </si>
  <si>
    <t>Boston Pizza</t>
  </si>
  <si>
    <t>Breadeaux Pizza</t>
  </si>
  <si>
    <t>British Airways</t>
  </si>
  <si>
    <t>Phh Home Loans</t>
  </si>
  <si>
    <t>Cape Air</t>
  </si>
  <si>
    <t>Champion Mortgage</t>
  </si>
  <si>
    <t>Chemstation</t>
  </si>
  <si>
    <t>Commission Express</t>
  </si>
  <si>
    <t>Contours Express</t>
  </si>
  <si>
    <t>Cookie Factory</t>
  </si>
  <si>
    <t>Country Bank</t>
  </si>
  <si>
    <t>Westamerica Bank</t>
  </si>
  <si>
    <t>De-Sta-Co</t>
  </si>
  <si>
    <t>Drexel Heritage</t>
  </si>
  <si>
    <t>Drug Emporium</t>
  </si>
  <si>
    <t>Ductbusters</t>
  </si>
  <si>
    <t>Edina Realty</t>
  </si>
  <si>
    <t>Experttire</t>
  </si>
  <si>
    <t>Family Pharmacy</t>
  </si>
  <si>
    <t>Farmer Boys</t>
  </si>
  <si>
    <t>FDIC</t>
  </si>
  <si>
    <t>Filta</t>
  </si>
  <si>
    <t>First Charter</t>
  </si>
  <si>
    <t>First Market Bank</t>
  </si>
  <si>
    <t>Fitness Together</t>
  </si>
  <si>
    <t>[2597]</t>
  </si>
  <si>
    <t>Giant Eagle</t>
  </si>
  <si>
    <t>Griswold Special Care</t>
  </si>
  <si>
    <t>Hancock Bank</t>
  </si>
  <si>
    <t>Handyman Connection</t>
  </si>
  <si>
    <t>Infor</t>
  </si>
  <si>
    <t>Health Mart Pharmacy</t>
  </si>
  <si>
    <t>High Touch High Tech</t>
  </si>
  <si>
    <t>Homebanc</t>
  </si>
  <si>
    <t>Homewatch Caregivers</t>
  </si>
  <si>
    <t>Houlihan's</t>
  </si>
  <si>
    <t>House Doctors</t>
  </si>
  <si>
    <t>[2731]</t>
  </si>
  <si>
    <t>Instant Imprints</t>
  </si>
  <si>
    <t>[1269]</t>
  </si>
  <si>
    <t>IronStone Bank</t>
  </si>
  <si>
    <t>John L. Scott Real Estate</t>
  </si>
  <si>
    <t>Kabloom</t>
  </si>
  <si>
    <t>Kerr Drug</t>
  </si>
  <si>
    <t>Kid to Kid</t>
  </si>
  <si>
    <t>Klm</t>
  </si>
  <si>
    <t>Lawn Doctor</t>
  </si>
  <si>
    <t>Lizard's Thicket</t>
  </si>
  <si>
    <t>MaidPro</t>
  </si>
  <si>
    <t>Mtoclean</t>
  </si>
  <si>
    <t>Me-N-Ed's</t>
  </si>
  <si>
    <t>Metro Brokers</t>
  </si>
  <si>
    <t>Nyce</t>
  </si>
  <si>
    <t>On The Border</t>
  </si>
  <si>
    <t>Parcel Plus</t>
  </si>
  <si>
    <t>Pathmark</t>
  </si>
  <si>
    <t>The Penn Traffic Company</t>
  </si>
  <si>
    <t>Philippine Airlines</t>
  </si>
  <si>
    <t>Premiergarage</t>
  </si>
  <si>
    <t>[480]</t>
  </si>
  <si>
    <t>Proforma</t>
  </si>
  <si>
    <t>Ralphs</t>
  </si>
  <si>
    <t>Randstad</t>
  </si>
  <si>
    <t>Real Estate One</t>
  </si>
  <si>
    <t>Redbrick Pizza</t>
  </si>
  <si>
    <t>Referral Realty</t>
  </si>
  <si>
    <t>Rooms To Go Furniture Store</t>
  </si>
  <si>
    <t>Ross</t>
  </si>
  <si>
    <t>Saladworks</t>
  </si>
  <si>
    <t>Signs by Tomorrow</t>
  </si>
  <si>
    <t>Skill Staff</t>
  </si>
  <si>
    <t>Smokey Bones Bar &amp; Fire Grill</t>
  </si>
  <si>
    <t>Sparklewash</t>
  </si>
  <si>
    <t>Studio 6</t>
  </si>
  <si>
    <t>Super Wash</t>
  </si>
  <si>
    <t>[2621]</t>
  </si>
  <si>
    <t>Supercoups</t>
  </si>
  <si>
    <t>Texas State Bank</t>
  </si>
  <si>
    <t>Thomasville</t>
  </si>
  <si>
    <t>Tiffany &amp; Co</t>
  </si>
  <si>
    <t>Timber Lodge Steakhouse</t>
  </si>
  <si>
    <t>Tires Plus</t>
  </si>
  <si>
    <t>Tomlinson Real Estate</t>
  </si>
  <si>
    <t>Value-Rite</t>
  </si>
  <si>
    <t>[1238]</t>
  </si>
  <si>
    <t>WesBanco</t>
  </si>
  <si>
    <t>Williams-Sonoma</t>
  </si>
  <si>
    <t>[2618]</t>
  </si>
  <si>
    <t>Wireless Zone</t>
  </si>
  <si>
    <t>[1010]</t>
  </si>
  <si>
    <t>Wsfs Bank</t>
  </si>
  <si>
    <t>Z Pizza</t>
  </si>
  <si>
    <t>Ziebart</t>
  </si>
  <si>
    <t>[2622]</t>
  </si>
  <si>
    <t>Chip The Child I.D. Program</t>
  </si>
  <si>
    <t>Expetec</t>
  </si>
  <si>
    <t>Express Oil Change &amp; Service C</t>
  </si>
  <si>
    <t>Hilliard Lyons</t>
  </si>
  <si>
    <t>InterContinental Hotels &amp; Reso</t>
  </si>
  <si>
    <t>My Gym</t>
  </si>
  <si>
    <t>Navis Pack &amp; Ship</t>
  </si>
  <si>
    <t>Water to Go</t>
  </si>
  <si>
    <t>[2252]</t>
  </si>
  <si>
    <t>Volvo</t>
  </si>
  <si>
    <t>Extreme Pizza</t>
  </si>
  <si>
    <t>Papa Romano's</t>
  </si>
  <si>
    <t>Pet Supplies "Plus"</t>
  </si>
  <si>
    <t>@Work Personnel Services</t>
  </si>
  <si>
    <t>Bad Ass Coffee</t>
  </si>
  <si>
    <t>California Closet</t>
  </si>
  <si>
    <t>[2697]</t>
  </si>
  <si>
    <t>Christmas Decor</t>
  </si>
  <si>
    <t>[2640]</t>
  </si>
  <si>
    <t>Geeks On Call</t>
  </si>
  <si>
    <t>Limited Brands</t>
  </si>
  <si>
    <t>[1618]</t>
  </si>
  <si>
    <t>Liberty Fitness</t>
  </si>
  <si>
    <t>[2502]</t>
  </si>
  <si>
    <t>National Property Inspections</t>
  </si>
  <si>
    <t>Primrose Schools</t>
  </si>
  <si>
    <t>Prudential California Realty</t>
  </si>
  <si>
    <t>Snap-On</t>
  </si>
  <si>
    <t>Unisys</t>
  </si>
  <si>
    <t>[2764]</t>
  </si>
  <si>
    <t>We The People</t>
  </si>
  <si>
    <t>Apa League</t>
  </si>
  <si>
    <t>[2608]</t>
  </si>
  <si>
    <t>Belk</t>
  </si>
  <si>
    <t>Buffalo Wild Wings</t>
  </si>
  <si>
    <t>Cartridge World USA</t>
  </si>
  <si>
    <t>Craters &amp; Freighters</t>
  </si>
  <si>
    <t>Dollar Discount</t>
  </si>
  <si>
    <t>Ebby Halliday Real Estate</t>
  </si>
  <si>
    <t>Flowerama</t>
  </si>
  <si>
    <t>Hilton Garden Inn</t>
  </si>
  <si>
    <t>Ident-A-Kid</t>
  </si>
  <si>
    <t>[259]</t>
  </si>
  <si>
    <t>Interquest Detection Canines</t>
  </si>
  <si>
    <t>Koa</t>
  </si>
  <si>
    <t>[2472]</t>
  </si>
  <si>
    <t>Lee Myles Transmissions &amp; Auto</t>
  </si>
  <si>
    <t>Mark's Pizzeria</t>
  </si>
  <si>
    <t>McAlister's Deli</t>
  </si>
  <si>
    <t>Money Mailer</t>
  </si>
  <si>
    <t>Palmetto Bank</t>
  </si>
  <si>
    <t>Peoples First</t>
  </si>
  <si>
    <t>Qdoba Mexican Grill</t>
  </si>
  <si>
    <t>River City Bank</t>
  </si>
  <si>
    <t>Schakolad Chocolate Factory</t>
  </si>
  <si>
    <t>Sterling Savings Bank</t>
  </si>
  <si>
    <t>Uno Chicago Grill</t>
  </si>
  <si>
    <t>Wheaton Worldwide Moving</t>
  </si>
  <si>
    <t>Willstaff Worldwide</t>
  </si>
  <si>
    <t>WSI</t>
  </si>
  <si>
    <t>A-1 Concrete Leveling</t>
  </si>
  <si>
    <t>[965]</t>
  </si>
  <si>
    <t>Actioncoach</t>
  </si>
  <si>
    <t>Affiliated Car Rental</t>
  </si>
  <si>
    <t>Aire Serv</t>
  </si>
  <si>
    <t>Allen Tate Realtors</t>
  </si>
  <si>
    <t>FedEx Drop Box</t>
  </si>
  <si>
    <t>Amerispec</t>
  </si>
  <si>
    <t>Assist-2-Sell</t>
  </si>
  <si>
    <t>Atlas Interstate Agent</t>
  </si>
  <si>
    <t>[540]</t>
  </si>
  <si>
    <t>Avalar Real Estate</t>
  </si>
  <si>
    <t>Bruster's Real Ice Cream</t>
  </si>
  <si>
    <t>Cash Plus</t>
  </si>
  <si>
    <t>CertaPro Painters</t>
  </si>
  <si>
    <t>[569]</t>
  </si>
  <si>
    <t>Cleannet USA</t>
  </si>
  <si>
    <t>Coffee Beanery</t>
  </si>
  <si>
    <t>Comforcare</t>
  </si>
  <si>
    <t>Cookies by Design</t>
  </si>
  <si>
    <t>Coverall</t>
  </si>
  <si>
    <t>Crown Trophy</t>
  </si>
  <si>
    <t>[1454]</t>
  </si>
  <si>
    <t>Decor &amp; You</t>
  </si>
  <si>
    <t>Drama Kids</t>
  </si>
  <si>
    <t>[2069]</t>
  </si>
  <si>
    <t>Dry-B-Lo</t>
  </si>
  <si>
    <t>Express Mart</t>
  </si>
  <si>
    <t>Fastrackids</t>
  </si>
  <si>
    <t>Fiducial</t>
  </si>
  <si>
    <t>Filippi's Pizza Grotto</t>
  </si>
  <si>
    <t>First Convenience Bank</t>
  </si>
  <si>
    <t>Garage Tek</t>
  </si>
  <si>
    <t>[2614]</t>
  </si>
  <si>
    <t>GMAC Insurance</t>
  </si>
  <si>
    <t>Handyman Matters</t>
  </si>
  <si>
    <t>Hardware Hank</t>
  </si>
  <si>
    <t>The Hartford</t>
  </si>
  <si>
    <t>Help-U-Sell Real Estate</t>
  </si>
  <si>
    <t>Homevestors</t>
  </si>
  <si>
    <t>Homewood Suites by Hilton</t>
  </si>
  <si>
    <t>Hot Stuff Foods</t>
  </si>
  <si>
    <t>HouseMaster</t>
  </si>
  <si>
    <t>Fruitflowers</t>
  </si>
  <si>
    <t>Intelligent Office</t>
  </si>
  <si>
    <t>Jan-Pro</t>
  </si>
  <si>
    <t>Kiddie Academy</t>
  </si>
  <si>
    <t>Kitchen Solvers</t>
  </si>
  <si>
    <t>Kumon Math and Reading Center</t>
  </si>
  <si>
    <t>Lmi</t>
  </si>
  <si>
    <t>Lil Angels</t>
  </si>
  <si>
    <t>The Little Gym</t>
  </si>
  <si>
    <t>The Maids</t>
  </si>
  <si>
    <t>[1369]</t>
  </si>
  <si>
    <t>Maui Wowi</t>
  </si>
  <si>
    <t>Mercury Insurance</t>
  </si>
  <si>
    <t>Moe's Southwest Grill</t>
  </si>
  <si>
    <t>Mr. Appliance</t>
  </si>
  <si>
    <t>[1608]</t>
  </si>
  <si>
    <t>National Bank of South Carolin</t>
  </si>
  <si>
    <t>Oxford Learning</t>
  </si>
  <si>
    <t>Papa's Pizza To-Go</t>
  </si>
  <si>
    <t>Passport Health Communications</t>
  </si>
  <si>
    <t>Planet Beach</t>
  </si>
  <si>
    <t>Postal Connections</t>
  </si>
  <si>
    <t>PPG Industries</t>
  </si>
  <si>
    <t>[957]</t>
  </si>
  <si>
    <t>RE/MAX</t>
  </si>
  <si>
    <t>Red Roof Inn</t>
  </si>
  <si>
    <t>Relax The Back</t>
  </si>
  <si>
    <t>Right At Home</t>
  </si>
  <si>
    <t>[1602]</t>
  </si>
  <si>
    <t>The Right One</t>
  </si>
  <si>
    <t>[2389]</t>
  </si>
  <si>
    <t>Ruth's Chris Steak House</t>
  </si>
  <si>
    <t>Santa Barbara Bank &amp; Trust</t>
  </si>
  <si>
    <t>Schnucks Markets</t>
  </si>
  <si>
    <t>Scott's Lawn Service</t>
  </si>
  <si>
    <t>Sunbelt</t>
  </si>
  <si>
    <t>[2369]</t>
  </si>
  <si>
    <t>Tunex</t>
  </si>
  <si>
    <t>Tutoring Club</t>
  </si>
  <si>
    <t>We're Rolling Pretzel Company</t>
  </si>
  <si>
    <t>Wing Zone</t>
  </si>
  <si>
    <t>Women's Health Boutique</t>
  </si>
  <si>
    <t>Woodcraft</t>
  </si>
  <si>
    <t>Pirtek</t>
  </si>
  <si>
    <t>[1070]</t>
  </si>
  <si>
    <t>Plato's Closet</t>
  </si>
  <si>
    <t>[759]</t>
  </si>
  <si>
    <t>PRO Golf</t>
  </si>
  <si>
    <t>Pump It Up</t>
  </si>
  <si>
    <t>[2285]</t>
  </si>
  <si>
    <t>Safeco Insurance</t>
  </si>
  <si>
    <t>Sandler Training</t>
  </si>
  <si>
    <t>Semonin Realtors</t>
  </si>
  <si>
    <t>Shorewest Realtors</t>
  </si>
  <si>
    <t>[464]</t>
  </si>
  <si>
    <t>Steamatic</t>
  </si>
  <si>
    <t>Tropical Smoothie Cafe</t>
  </si>
  <si>
    <t>U.S. Lawns</t>
  </si>
  <si>
    <t>United Check Cashing</t>
  </si>
  <si>
    <t>Cardsmart</t>
  </si>
  <si>
    <t>The Carlyle Group</t>
  </si>
  <si>
    <t>Cruise Planners</t>
  </si>
  <si>
    <t>Econotax</t>
  </si>
  <si>
    <t>Fish Window Cleaning</t>
  </si>
  <si>
    <t>It's Just Lunch</t>
  </si>
  <si>
    <t>Meijer</t>
  </si>
  <si>
    <t>Russell &amp; Jeffcoat Realtors</t>
  </si>
  <si>
    <t>Smart &amp; Final Extra!</t>
  </si>
  <si>
    <t>Tower Cleaning Systems</t>
  </si>
  <si>
    <t>US Airways</t>
  </si>
  <si>
    <t>Lapels</t>
  </si>
  <si>
    <t>Piedmont Federal</t>
  </si>
  <si>
    <t>GMAC Real Estate</t>
  </si>
  <si>
    <t>Spartan Stores</t>
  </si>
  <si>
    <t>Applied Research Associates</t>
  </si>
  <si>
    <t>[2266]</t>
  </si>
  <si>
    <t>Kinderdance Int'l Inc</t>
  </si>
  <si>
    <t>[771]</t>
  </si>
  <si>
    <t>Shake's Frozen Custard</t>
  </si>
  <si>
    <t>Regal Cinemas</t>
  </si>
  <si>
    <t>[1242]</t>
  </si>
  <si>
    <t>RBC Bank</t>
  </si>
  <si>
    <t>Boscov's</t>
  </si>
  <si>
    <t>Brooks Brothers</t>
  </si>
  <si>
    <t>Cabelas</t>
  </si>
  <si>
    <t>Calumet Photographic</t>
  </si>
  <si>
    <t>[710]</t>
  </si>
  <si>
    <t>Catherines</t>
  </si>
  <si>
    <t>Cost Plus World Market</t>
  </si>
  <si>
    <t>Design Within Reach</t>
  </si>
  <si>
    <t>DICK'S Sporting Goods</t>
  </si>
  <si>
    <t>Eastern Mountain Sports</t>
  </si>
  <si>
    <t>Edwin Watts Golf</t>
  </si>
  <si>
    <t>Gander Mountain</t>
  </si>
  <si>
    <t>Golfsmith</t>
  </si>
  <si>
    <t>Home Decorators Collection</t>
  </si>
  <si>
    <t>Jos. A. Bank</t>
  </si>
  <si>
    <t>Lamps Plus</t>
  </si>
  <si>
    <t>[2651]</t>
  </si>
  <si>
    <t>The Land of Nod</t>
  </si>
  <si>
    <t>[23]</t>
  </si>
  <si>
    <t>Lands End</t>
  </si>
  <si>
    <t>Lumber Liquidators</t>
  </si>
  <si>
    <t>[2788]</t>
  </si>
  <si>
    <t>Northern Tool + Equipment</t>
  </si>
  <si>
    <t>[1042]</t>
  </si>
  <si>
    <t>Orvis</t>
  </si>
  <si>
    <t>Patagonia</t>
  </si>
  <si>
    <t>[1265]</t>
  </si>
  <si>
    <t>Peoples Jewellers</t>
  </si>
  <si>
    <t>Plow &amp; Hearth</t>
  </si>
  <si>
    <t>REI</t>
  </si>
  <si>
    <t>Rockler Woodworking and Hardwa</t>
  </si>
  <si>
    <t>[2229]</t>
  </si>
  <si>
    <t>Sam Ash Music Store</t>
  </si>
  <si>
    <t>[874]</t>
  </si>
  <si>
    <t>Sierra Trading Post</t>
  </si>
  <si>
    <t>SKECHERS Retail</t>
  </si>
  <si>
    <t>Slumberland Furniture</t>
  </si>
  <si>
    <t>Sur La Table</t>
  </si>
  <si>
    <t>[1704]</t>
  </si>
  <si>
    <t>The Vitamin Shoppe</t>
  </si>
  <si>
    <t>[611]</t>
  </si>
  <si>
    <t>ULTA</t>
  </si>
  <si>
    <t>Anna's Linens</t>
  </si>
  <si>
    <t>Apple Store</t>
  </si>
  <si>
    <t>BC Sports</t>
  </si>
  <si>
    <t>Big Dogs</t>
  </si>
  <si>
    <t>Boot Barn</t>
  </si>
  <si>
    <t>[740]</t>
  </si>
  <si>
    <t>Bose</t>
  </si>
  <si>
    <t>Camping World</t>
  </si>
  <si>
    <t>Crate and Barrel</t>
  </si>
  <si>
    <t>Denver Mattress Company</t>
  </si>
  <si>
    <t>[2092]</t>
  </si>
  <si>
    <t>Dunham's Sports</t>
  </si>
  <si>
    <t>Hot Topic</t>
  </si>
  <si>
    <t>Johnston &amp; Murphy</t>
  </si>
  <si>
    <t>Tommy Hilfiger</t>
  </si>
  <si>
    <t>Chico's</t>
  </si>
  <si>
    <t>Coldwater Creek</t>
  </si>
  <si>
    <t>[1499, 1229, 1272]</t>
  </si>
  <si>
    <t>Delia's</t>
  </si>
  <si>
    <t>Dick Blick Art Materials</t>
  </si>
  <si>
    <t>DO IT Best</t>
  </si>
  <si>
    <t>Fry's Electronics</t>
  </si>
  <si>
    <t>Furniture Row</t>
  </si>
  <si>
    <t>Golf Galaxy</t>
  </si>
  <si>
    <t>Goody's</t>
  </si>
  <si>
    <t>h.h. gregg</t>
  </si>
  <si>
    <t>J. Crew</t>
  </si>
  <si>
    <t>J.Jill</t>
  </si>
  <si>
    <t>Jockey</t>
  </si>
  <si>
    <t>Journeys</t>
  </si>
  <si>
    <t>Journeys Kidz</t>
  </si>
  <si>
    <t>Kenneth Cole</t>
  </si>
  <si>
    <t>Kids Foot Locker</t>
  </si>
  <si>
    <t>Kings Jewelry</t>
  </si>
  <si>
    <t>Lady Foot Locker</t>
  </si>
  <si>
    <t>Liz Claiborne</t>
  </si>
  <si>
    <t>L'occitane</t>
  </si>
  <si>
    <t>Lord &amp; Taylor</t>
  </si>
  <si>
    <t>Lucky Brand</t>
  </si>
  <si>
    <t>Man Alive</t>
  </si>
  <si>
    <t>Marty's Shoes</t>
  </si>
  <si>
    <t>MC Sports</t>
  </si>
  <si>
    <t>Mikasa</t>
  </si>
  <si>
    <t>[2639]</t>
  </si>
  <si>
    <t>A Pea In The Pod</t>
  </si>
  <si>
    <t>Modell's Sporting Goods</t>
  </si>
  <si>
    <t>Nevada Bobs</t>
  </si>
  <si>
    <t>Nike</t>
  </si>
  <si>
    <t>Olympia Sports</t>
  </si>
  <si>
    <t>Origins</t>
  </si>
  <si>
    <t>P.C. Richard &amp; Son</t>
  </si>
  <si>
    <t>[2439]</t>
  </si>
  <si>
    <t>Perry Ellis</t>
  </si>
  <si>
    <t>Pfaltzgraff</t>
  </si>
  <si>
    <t>Pottery Barn</t>
  </si>
  <si>
    <t>Pottery Barn Kids</t>
  </si>
  <si>
    <t>Rampage</t>
  </si>
  <si>
    <t>Reebok Outlet</t>
  </si>
  <si>
    <t>Reeds Jewelers</t>
  </si>
  <si>
    <t>Restoration Hardware</t>
  </si>
  <si>
    <t>Riddle's Jewelry</t>
  </si>
  <si>
    <t>Rockport Outlet</t>
  </si>
  <si>
    <t>Sony Style</t>
  </si>
  <si>
    <t>Sport Chalet</t>
  </si>
  <si>
    <t>The Children's Place</t>
  </si>
  <si>
    <t>The Container Store</t>
  </si>
  <si>
    <t>[2696]</t>
  </si>
  <si>
    <t>Justice</t>
  </si>
  <si>
    <t>The Sports Authority</t>
  </si>
  <si>
    <t>The Walking Company</t>
  </si>
  <si>
    <t>Timberland</t>
  </si>
  <si>
    <t>Tumi</t>
  </si>
  <si>
    <t>[1251]</t>
  </si>
  <si>
    <t>Underground Station</t>
  </si>
  <si>
    <t>White House Black Market</t>
  </si>
  <si>
    <t>Zumiez</t>
  </si>
  <si>
    <t>Bloomingdale's</t>
  </si>
  <si>
    <t>Calvin Klein Underwear</t>
  </si>
  <si>
    <t>Armani Exchange</t>
  </si>
  <si>
    <t>[1250]</t>
  </si>
  <si>
    <t>Anthropologie</t>
  </si>
  <si>
    <t>Guess</t>
  </si>
  <si>
    <t>Wet Seal</t>
  </si>
  <si>
    <t>Vons</t>
  </si>
  <si>
    <t>Nathan's Famous</t>
  </si>
  <si>
    <t>Yogen Fruz</t>
  </si>
  <si>
    <t>Pizza Hut / Wingstreet</t>
  </si>
  <si>
    <t>Cinnabon</t>
  </si>
  <si>
    <t>Huddle House</t>
  </si>
  <si>
    <t>Five Guys Burgers and Fries</t>
  </si>
  <si>
    <t>In-N-Out Burger</t>
  </si>
  <si>
    <t>Tim Hortons</t>
  </si>
  <si>
    <t>Texas Roadhouse</t>
  </si>
  <si>
    <t>Landry's</t>
  </si>
  <si>
    <t>Carl's Jr. / Green Burrito</t>
  </si>
  <si>
    <t>Red Robin</t>
  </si>
  <si>
    <t>Simple Simon's Pizza</t>
  </si>
  <si>
    <t>California Pizza Kitchen</t>
  </si>
  <si>
    <t>Romano's Macaroni Grill</t>
  </si>
  <si>
    <t>Sizzler</t>
  </si>
  <si>
    <t>Krispy Kreme</t>
  </si>
  <si>
    <t>Tony Roma's</t>
  </si>
  <si>
    <t>Potbelly Sandwich Shop</t>
  </si>
  <si>
    <t>Manchu Wok</t>
  </si>
  <si>
    <t>Jason's Deli</t>
  </si>
  <si>
    <t>Dickey's Barbecue Pit</t>
  </si>
  <si>
    <t>L&amp;L Hawaiian Barbecue</t>
  </si>
  <si>
    <t>Carrabba's Italian Grill</t>
  </si>
  <si>
    <t>Winchell's Donut House</t>
  </si>
  <si>
    <t>Rubio's Coastal Grill</t>
  </si>
  <si>
    <t>Donatos</t>
  </si>
  <si>
    <t>Taco Bueno</t>
  </si>
  <si>
    <t>Back Yard Burgers</t>
  </si>
  <si>
    <t>Bonefish Grill</t>
  </si>
  <si>
    <t>Great Steak</t>
  </si>
  <si>
    <t>Noodles &amp; Company</t>
  </si>
  <si>
    <t>Logan's Roadhouse</t>
  </si>
  <si>
    <t>Bakers Square</t>
  </si>
  <si>
    <t>The Cheesecake Factory</t>
  </si>
  <si>
    <t>Taco Cabana</t>
  </si>
  <si>
    <t>Pizza Ranch</t>
  </si>
  <si>
    <t>Arctic Circle</t>
  </si>
  <si>
    <t>Fosters Freeze</t>
  </si>
  <si>
    <t>Pick Up Stix Fresh Asian Flavo</t>
  </si>
  <si>
    <t>Skyline Chili</t>
  </si>
  <si>
    <t>Souplantation &amp; Sweet Tomatoes</t>
  </si>
  <si>
    <t>Surf City Squeeze</t>
  </si>
  <si>
    <t>Coco's Bakery Restaurant</t>
  </si>
  <si>
    <t>Mrs. Winner's Chicken &amp; Biscui</t>
  </si>
  <si>
    <t>P.F. Chang's China Bistro</t>
  </si>
  <si>
    <t>Pei Wei</t>
  </si>
  <si>
    <t>Honey Dew Donuts</t>
  </si>
  <si>
    <t>Gold Star Chili</t>
  </si>
  <si>
    <t>Fatburger</t>
  </si>
  <si>
    <t>Shane's Rib Shack</t>
  </si>
  <si>
    <t>Carrows</t>
  </si>
  <si>
    <t>Taco Mayo</t>
  </si>
  <si>
    <t>Larry's Giant Subs</t>
  </si>
  <si>
    <t>Daphne's Greek Cafe</t>
  </si>
  <si>
    <t>Pollo Tropical</t>
  </si>
  <si>
    <t>Paradise Bakery</t>
  </si>
  <si>
    <t>Blake's Lotaburger</t>
  </si>
  <si>
    <t>Runza</t>
  </si>
  <si>
    <t>El Chico</t>
  </si>
  <si>
    <t>Eat'n Park</t>
  </si>
  <si>
    <t>Yum Yum Donuts</t>
  </si>
  <si>
    <t>Tijuana Flats</t>
  </si>
  <si>
    <t>The Great American Bagel</t>
  </si>
  <si>
    <t>COSI</t>
  </si>
  <si>
    <t>Happy Joe's</t>
  </si>
  <si>
    <t>Cheeburger Cheeburger</t>
  </si>
  <si>
    <t>Stewart's Drive-In</t>
  </si>
  <si>
    <t>Larosa's Pizzeria</t>
  </si>
  <si>
    <t>Damon's Grill</t>
  </si>
  <si>
    <t>Fleming's Prime Steakhouse &amp; W</t>
  </si>
  <si>
    <t>Wolfgang Puck Express</t>
  </si>
  <si>
    <t>Charlie Brown's Steakhouse</t>
  </si>
  <si>
    <t>Elephant Bar</t>
  </si>
  <si>
    <t>Which Wich Superior Sandwiches</t>
  </si>
  <si>
    <t>Sub Station II</t>
  </si>
  <si>
    <t>Salsarita's</t>
  </si>
  <si>
    <t>Raising Cane's Chicken Fingers</t>
  </si>
  <si>
    <t>Ninety Nine Restaurant</t>
  </si>
  <si>
    <t>Ivar's</t>
  </si>
  <si>
    <t>Biscuitville</t>
  </si>
  <si>
    <t>Dave &amp; Buster's</t>
  </si>
  <si>
    <t>Carlos O'kelly's Mexican Cafe</t>
  </si>
  <si>
    <t>Jimboy's Tacos</t>
  </si>
  <si>
    <t>Erbert &amp; Gerbert's</t>
  </si>
  <si>
    <t>Crown Fried Chicken</t>
  </si>
  <si>
    <t>Milio's Sandwiches</t>
  </si>
  <si>
    <t>Claim Jumper Restaurants</t>
  </si>
  <si>
    <t>Tudor's Biscuit World</t>
  </si>
  <si>
    <t>Spicy Pickle</t>
  </si>
  <si>
    <t>Fatz Cafe</t>
  </si>
  <si>
    <t>Bajio Mexican Grill</t>
  </si>
  <si>
    <t>Jb's Restaurant</t>
  </si>
  <si>
    <t>Bravo! Cucina Italiana</t>
  </si>
  <si>
    <t>Don Pablo's</t>
  </si>
  <si>
    <t>Ruby's Diner</t>
  </si>
  <si>
    <t>Pollo Campero</t>
  </si>
  <si>
    <t>Cheeseburger In Paradise</t>
  </si>
  <si>
    <t>Burgerville</t>
  </si>
  <si>
    <t>Taco Tico</t>
  </si>
  <si>
    <t>California Tortilla</t>
  </si>
  <si>
    <t>Black Bear Diner</t>
  </si>
  <si>
    <t>Filiberto's</t>
  </si>
  <si>
    <t>Rock Bottom</t>
  </si>
  <si>
    <t>Pudge Brothers Pizza</t>
  </si>
  <si>
    <t>K&amp;W Cafeterias</t>
  </si>
  <si>
    <t>[508]</t>
  </si>
  <si>
    <t>J. Alexander's</t>
  </si>
  <si>
    <t>Black-Eyed Pea</t>
  </si>
  <si>
    <t>Wild Wing Cafe</t>
  </si>
  <si>
    <t>Quaker Steak &amp; Lube</t>
  </si>
  <si>
    <t>Johnny's Pizza House</t>
  </si>
  <si>
    <t>Bugaboo Creek Steak House</t>
  </si>
  <si>
    <t>Lamar's Donuts</t>
  </si>
  <si>
    <t>Inta Juice</t>
  </si>
  <si>
    <t>Brio Tuscan Grille</t>
  </si>
  <si>
    <t>W.G. Grinders</t>
  </si>
  <si>
    <t>Taco Mac</t>
  </si>
  <si>
    <t>Chart House</t>
  </si>
  <si>
    <t>Rainforest Cafe</t>
  </si>
  <si>
    <t>Rudy's</t>
  </si>
  <si>
    <t>Mark Pi's Express</t>
  </si>
  <si>
    <t>Cluck-U Chicken</t>
  </si>
  <si>
    <t>Zippy's</t>
  </si>
  <si>
    <t>Granite City Food &amp; Brewery</t>
  </si>
  <si>
    <t>Chicken Out Rotisserie</t>
  </si>
  <si>
    <t>Rumbi Island Grill</t>
  </si>
  <si>
    <t>Sticky Fingers</t>
  </si>
  <si>
    <t>Burger Street</t>
  </si>
  <si>
    <t>Bubba Gump Shrimp Co.</t>
  </si>
  <si>
    <t>Copeland's of New Orleans</t>
  </si>
  <si>
    <t>Cafe Rio</t>
  </si>
  <si>
    <t>Una Mas!</t>
  </si>
  <si>
    <t>RA Sushi</t>
  </si>
  <si>
    <t>James Coney Island</t>
  </si>
  <si>
    <t>Glory Days Grill</t>
  </si>
  <si>
    <t>Arizona Pizza Company</t>
  </si>
  <si>
    <t>Tokyo Joe's</t>
  </si>
  <si>
    <t>Fresh City</t>
  </si>
  <si>
    <t>Sullivan's Steakhouse</t>
  </si>
  <si>
    <t>Charlotte Russe</t>
  </si>
  <si>
    <t>Department of Motor Vehicles</t>
  </si>
  <si>
    <t>[2859]</t>
  </si>
  <si>
    <t>Internal Revenue Service</t>
  </si>
  <si>
    <t>Geek Squad</t>
  </si>
  <si>
    <t>American Tire Depot</t>
  </si>
  <si>
    <t>Atlas Copco</t>
  </si>
  <si>
    <t>Bank Mutual</t>
  </si>
  <si>
    <t>Baymont Inn and Suites</t>
  </si>
  <si>
    <t>Belle Tire</t>
  </si>
  <si>
    <t>Benjamin Moore Paints</t>
  </si>
  <si>
    <t>Brookshire's Food &amp; Pharmacy</t>
  </si>
  <si>
    <t>Cambria Suites</t>
  </si>
  <si>
    <t>Candlewood Suites</t>
  </si>
  <si>
    <t>Carolina Handling</t>
  </si>
  <si>
    <t>[2199]</t>
  </si>
  <si>
    <t>Carpet One</t>
  </si>
  <si>
    <t>Car-X</t>
  </si>
  <si>
    <t>Clarion Inns</t>
  </si>
  <si>
    <t>Closet Tailors</t>
  </si>
  <si>
    <t>COINSTAR</t>
  </si>
  <si>
    <t>[1974]</t>
  </si>
  <si>
    <t>Conrad's Tire Express &amp; Total</t>
  </si>
  <si>
    <t>Cricket Wireless</t>
  </si>
  <si>
    <t>Crowne Plaza</t>
  </si>
  <si>
    <t>Data Doctors</t>
  </si>
  <si>
    <t>DeVry University</t>
  </si>
  <si>
    <t>[366]</t>
  </si>
  <si>
    <t>Dreammaker Bath &amp; Kitchen</t>
  </si>
  <si>
    <t>Econogas</t>
  </si>
  <si>
    <t>El Monte RV Rentals</t>
  </si>
  <si>
    <t>Emeritus Senior Living</t>
  </si>
  <si>
    <t>Evercare Hospice &amp; Palliative</t>
  </si>
  <si>
    <t>[2036]</t>
  </si>
  <si>
    <t>FirstMerit Bank</t>
  </si>
  <si>
    <t>First Team Real Estate</t>
  </si>
  <si>
    <t>Flooring America</t>
  </si>
  <si>
    <t>[1036]</t>
  </si>
  <si>
    <t>Half Price Books</t>
  </si>
  <si>
    <t>Hat World</t>
  </si>
  <si>
    <t>HealthEast</t>
  </si>
  <si>
    <t>Hotel Indigo</t>
  </si>
  <si>
    <t>JELD-WEN</t>
  </si>
  <si>
    <t>JW Marriott Essex House New Yo</t>
  </si>
  <si>
    <t>K&amp;G Fashion Superstore</t>
  </si>
  <si>
    <t>Koorsen Fire &amp; Security</t>
  </si>
  <si>
    <t>[1019]</t>
  </si>
  <si>
    <t>Lakes Gas Co</t>
  </si>
  <si>
    <t>[2280]</t>
  </si>
  <si>
    <t>Lincoln Technical Institute</t>
  </si>
  <si>
    <t>[1395]</t>
  </si>
  <si>
    <t>MainStay Suites</t>
  </si>
  <si>
    <t>Marc's Pharmacy</t>
  </si>
  <si>
    <t>Mathnasium</t>
  </si>
  <si>
    <t>[1591]</t>
  </si>
  <si>
    <t>Medical Hair Restoration</t>
  </si>
  <si>
    <t>[450]</t>
  </si>
  <si>
    <t>Morris Murdock Travel</t>
  </si>
  <si>
    <t>No Fear</t>
  </si>
  <si>
    <t>Ontrack Data Recovery</t>
  </si>
  <si>
    <t>Premier Business Center</t>
  </si>
  <si>
    <t>Quality Inn</t>
  </si>
  <si>
    <t>RainSoft</t>
  </si>
  <si>
    <t>Red Lion Hotel</t>
  </si>
  <si>
    <t>Renaissance Hotels</t>
  </si>
  <si>
    <t>Residence Inn by Marriott</t>
  </si>
  <si>
    <t>Robert Half</t>
  </si>
  <si>
    <t>RoomStore</t>
  </si>
  <si>
    <t>Scottrade</t>
  </si>
  <si>
    <t>Seacoast National Bank</t>
  </si>
  <si>
    <t>Select Staffing</t>
  </si>
  <si>
    <t>Sleepy's</t>
  </si>
  <si>
    <t>SpringHill Suites by Marriott</t>
  </si>
  <si>
    <t>Staybridge Suites</t>
  </si>
  <si>
    <t>Storage Express</t>
  </si>
  <si>
    <t>Storage West</t>
  </si>
  <si>
    <t>[1382]</t>
  </si>
  <si>
    <t>Sunrise Senior Living</t>
  </si>
  <si>
    <t>TeamLogic IT</t>
  </si>
  <si>
    <t>The Scooter Store</t>
  </si>
  <si>
    <t>[106]</t>
  </si>
  <si>
    <t>The Sunshine House</t>
  </si>
  <si>
    <t>TownePlace Suites by Marriott</t>
  </si>
  <si>
    <t>Trustco Bank</t>
  </si>
  <si>
    <t>Ultimate Electronics</t>
  </si>
  <si>
    <t>Urban Active</t>
  </si>
  <si>
    <t>VCA Animal Hospitals</t>
  </si>
  <si>
    <t>West Marine</t>
  </si>
  <si>
    <t>[2341]</t>
  </si>
  <si>
    <t>Xpect</t>
  </si>
  <si>
    <t>Cohen's Fashion Optical</t>
  </si>
  <si>
    <t>Aspen Dental</t>
  </si>
  <si>
    <t>[80]</t>
  </si>
  <si>
    <t>Rochester Big and Tall Clothin</t>
  </si>
  <si>
    <t>Wyndham Hotels &amp; Resorts</t>
  </si>
  <si>
    <t>Shi By Journeys</t>
  </si>
  <si>
    <t>Elizabeth Arden Red Door Spas</t>
  </si>
  <si>
    <t>[367]</t>
  </si>
  <si>
    <t>Levi's</t>
  </si>
  <si>
    <t>Gymboree Play and Music</t>
  </si>
  <si>
    <t>The Ritz-Carlton</t>
  </si>
  <si>
    <t>The Ritz-Carlton Destination C</t>
  </si>
  <si>
    <t>[1113]</t>
  </si>
  <si>
    <t>Marriott Vacation Club</t>
  </si>
  <si>
    <t>Marriott Execustay</t>
  </si>
  <si>
    <t>Planet X</t>
  </si>
  <si>
    <t>Hat Shack</t>
  </si>
  <si>
    <t>Hat Zone</t>
  </si>
  <si>
    <t>Sports Fan-Attic</t>
  </si>
  <si>
    <t>Allina</t>
  </si>
  <si>
    <t>Amica Insurance</t>
  </si>
  <si>
    <t>Blackmon Mooring</t>
  </si>
  <si>
    <t>CarMax</t>
  </si>
  <si>
    <t>CompuPay</t>
  </si>
  <si>
    <t>Direct Energy</t>
  </si>
  <si>
    <t>[1429]</t>
  </si>
  <si>
    <t>Edmc</t>
  </si>
  <si>
    <t>Eyemart Express</t>
  </si>
  <si>
    <t>Glass America</t>
  </si>
  <si>
    <t>[2575]</t>
  </si>
  <si>
    <t>Great Expressions Dental Cente</t>
  </si>
  <si>
    <t>Harbor Freight Tools</t>
  </si>
  <si>
    <t>Home Care Assistance</t>
  </si>
  <si>
    <t>Morton Buildings</t>
  </si>
  <si>
    <t>Overhead Door</t>
  </si>
  <si>
    <t>[970]</t>
  </si>
  <si>
    <t>The Reserves Network</t>
  </si>
  <si>
    <t>Arrow Exterminators</t>
  </si>
  <si>
    <t>ARS Rescue Rooter</t>
  </si>
  <si>
    <t>Basement Systems</t>
  </si>
  <si>
    <t>[961]</t>
  </si>
  <si>
    <t>Centurylink</t>
  </si>
  <si>
    <t>Knight Office Solutions</t>
  </si>
  <si>
    <t>Phoenix Children's Hospital</t>
  </si>
  <si>
    <t>Good Samaritan Society</t>
  </si>
  <si>
    <t>24 Hour Fitness</t>
  </si>
  <si>
    <t>America's Best Value Inn</t>
  </si>
  <si>
    <t>Binswanger Glass</t>
  </si>
  <si>
    <t>Broadview Security</t>
  </si>
  <si>
    <t>[1012]</t>
  </si>
  <si>
    <t>Crossland Economy Studios</t>
  </si>
  <si>
    <t>Direct Auto Insurance</t>
  </si>
  <si>
    <t>Fossil</t>
  </si>
  <si>
    <t>Fresh Coat Painters</t>
  </si>
  <si>
    <t>[567]</t>
  </si>
  <si>
    <t>Harry &amp; David</t>
  </si>
  <si>
    <t>Homestead Studio Suites</t>
  </si>
  <si>
    <t>HUGO BOSS</t>
  </si>
  <si>
    <t>Kids Quest</t>
  </si>
  <si>
    <t>Lacoste</t>
  </si>
  <si>
    <t>LearningRx</t>
  </si>
  <si>
    <t>Lucy Activewear</t>
  </si>
  <si>
    <t>MoneyTree</t>
  </si>
  <si>
    <t>Morton's The Steakhouse</t>
  </si>
  <si>
    <t>Nobel Learning</t>
  </si>
  <si>
    <t>Office Suites Plus</t>
  </si>
  <si>
    <t>[270]</t>
  </si>
  <si>
    <t>Palais Royal</t>
  </si>
  <si>
    <t>Peebles</t>
  </si>
  <si>
    <t>Protect Painters</t>
  </si>
  <si>
    <t>ShelfGenie</t>
  </si>
  <si>
    <t>TCF Bank</t>
  </si>
  <si>
    <t>The Growth Coach</t>
  </si>
  <si>
    <t>Zions First National Bank</t>
  </si>
  <si>
    <t>NES Rentals</t>
  </si>
  <si>
    <t>[2174]</t>
  </si>
  <si>
    <t>Affordable Ignition Interlock</t>
  </si>
  <si>
    <t>[1921]</t>
  </si>
  <si>
    <t>Les Schwab Tire Center</t>
  </si>
  <si>
    <t>[10]</t>
  </si>
  <si>
    <t>First Niagara Bank</t>
  </si>
  <si>
    <t>MB Financial Bank</t>
  </si>
  <si>
    <t>Nevada State Bank</t>
  </si>
  <si>
    <t>Northwest Savings Bank</t>
  </si>
  <si>
    <t>Janie and Jack</t>
  </si>
  <si>
    <t>Suddenlink Communications</t>
  </si>
  <si>
    <t>Navy Federal Credit Union</t>
  </si>
  <si>
    <t>[296]</t>
  </si>
  <si>
    <t>Dentalworks</t>
  </si>
  <si>
    <t>Esquire Deposition Solutions</t>
  </si>
  <si>
    <t>[1799]</t>
  </si>
  <si>
    <t>Lasikplus Vision Center</t>
  </si>
  <si>
    <t>[516]</t>
  </si>
  <si>
    <t>Shopko Eyecare Center</t>
  </si>
  <si>
    <t>Eyeglass World</t>
  </si>
  <si>
    <t>[1837]</t>
  </si>
  <si>
    <t>LA Fitness</t>
  </si>
  <si>
    <t>[2599]</t>
  </si>
  <si>
    <t>Ashley Furniture Homestore</t>
  </si>
  <si>
    <t>Grocery Outlet</t>
  </si>
  <si>
    <t>King Soopers</t>
  </si>
  <si>
    <t>Hair Club</t>
  </si>
  <si>
    <t>[2032]</t>
  </si>
  <si>
    <t>Lennar</t>
  </si>
  <si>
    <t>[1229]</t>
  </si>
  <si>
    <t>Fidelity Investments</t>
  </si>
  <si>
    <t>WELLS FARGO ADVISORS</t>
  </si>
  <si>
    <t>Guitar Center</t>
  </si>
  <si>
    <t>Same Day Std Testing</t>
  </si>
  <si>
    <t>Alpha Ecological</t>
  </si>
  <si>
    <t>ABRA Auto Body &amp; Glass</t>
  </si>
  <si>
    <t>McCormick &amp; Schmick's</t>
  </si>
  <si>
    <t>Cole Haan</t>
  </si>
  <si>
    <t>Metro Self Storage</t>
  </si>
  <si>
    <t>Mini U Storage</t>
  </si>
  <si>
    <t>Securcare Self Storage</t>
  </si>
  <si>
    <t>Security Self Storage</t>
  </si>
  <si>
    <t>Desert Sun Tanning Salons</t>
  </si>
  <si>
    <t>Jk Harris</t>
  </si>
  <si>
    <t>Enterprise Commercial Trucks</t>
  </si>
  <si>
    <t>Al's Formal Wear</t>
  </si>
  <si>
    <t>Enterprise Car Sales</t>
  </si>
  <si>
    <t>Veolia Environmental Services</t>
  </si>
  <si>
    <t>Aloft Hotels</t>
  </si>
  <si>
    <t>Element by Westin</t>
  </si>
  <si>
    <t>Flood Control</t>
  </si>
  <si>
    <t>Four Points by Sheraton</t>
  </si>
  <si>
    <t>Hyatt Resorts</t>
  </si>
  <si>
    <t>Le Meridien</t>
  </si>
  <si>
    <t>Sheraton</t>
  </si>
  <si>
    <t>St. Regis</t>
  </si>
  <si>
    <t>Suburban Extended Stay Hotel</t>
  </si>
  <si>
    <t>W Hotels</t>
  </si>
  <si>
    <t>Westin</t>
  </si>
  <si>
    <t>Schumacher Homes</t>
  </si>
  <si>
    <t>Beauty Brands</t>
  </si>
  <si>
    <t>[548]</t>
  </si>
  <si>
    <t>America's Best Contacts &amp; Eyeg</t>
  </si>
  <si>
    <t>Tw Telecom</t>
  </si>
  <si>
    <t>Bootlegger</t>
  </si>
  <si>
    <t>Cloverdale Paint</t>
  </si>
  <si>
    <t>[279]</t>
  </si>
  <si>
    <t>Bayada Home Health Care</t>
  </si>
  <si>
    <t>Benchmark Staffing</t>
  </si>
  <si>
    <t>Bristol Farms</t>
  </si>
  <si>
    <t>Charles Schwab</t>
  </si>
  <si>
    <t>Cigna Medical Group</t>
  </si>
  <si>
    <t>Cub Foods</t>
  </si>
  <si>
    <t>Dewey Pest Control</t>
  </si>
  <si>
    <t>Jewel-Osco</t>
  </si>
  <si>
    <t>Money Management International</t>
  </si>
  <si>
    <t>[2232]</t>
  </si>
  <si>
    <t>RBC Wealth Management</t>
  </si>
  <si>
    <t>Redbox</t>
  </si>
  <si>
    <t>SAFEGUARD SELF STORAGE</t>
  </si>
  <si>
    <t>Shop 'N Save</t>
  </si>
  <si>
    <t>Shop 'N Save Pharmacy</t>
  </si>
  <si>
    <t>Shoppers</t>
  </si>
  <si>
    <t>Sonoma Bank</t>
  </si>
  <si>
    <t>Star Market</t>
  </si>
  <si>
    <t>STS Tire &amp; Auto Centers</t>
  </si>
  <si>
    <t>Superior Van &amp; Mobility</t>
  </si>
  <si>
    <t>[1307]</t>
  </si>
  <si>
    <t>The Creative Group</t>
  </si>
  <si>
    <t>Therapeutic Associates</t>
  </si>
  <si>
    <t>Wayne-Dalton Genie Sales Cente</t>
  </si>
  <si>
    <t>Western Dental &amp; Orthodontics</t>
  </si>
  <si>
    <t>Baton Rouge</t>
  </si>
  <si>
    <t>Earls</t>
  </si>
  <si>
    <t>Milestones</t>
  </si>
  <si>
    <t>Edo Japan</t>
  </si>
  <si>
    <t>Aerie</t>
  </si>
  <si>
    <t>Sears Outlet</t>
  </si>
  <si>
    <t>[765]</t>
  </si>
  <si>
    <t>Nordstrom Rack</t>
  </si>
  <si>
    <t>Shari's Restaurant &amp; Pies</t>
  </si>
  <si>
    <t>Zoe's Kitchen</t>
  </si>
  <si>
    <t>Boost Mobile</t>
  </si>
  <si>
    <t>Build-A-Bear Workshop</t>
  </si>
  <si>
    <t>Gap Kids</t>
  </si>
  <si>
    <t>The Keg Steakhouse &amp; Bar</t>
  </si>
  <si>
    <t>Anytime Fitness</t>
  </si>
  <si>
    <t>Snap Fitness</t>
  </si>
  <si>
    <t>76 Gas Station</t>
  </si>
  <si>
    <t>ampm</t>
  </si>
  <si>
    <t>[2846]</t>
  </si>
  <si>
    <t>Panda Inn</t>
  </si>
  <si>
    <t>Hibachi-San</t>
  </si>
  <si>
    <t>Holiday Inn Express</t>
  </si>
  <si>
    <t>La Salsa Fresh Mexican Grill</t>
  </si>
  <si>
    <t>Sofitel Hotel</t>
  </si>
  <si>
    <t>Omni Hotels &amp; Resorts</t>
  </si>
  <si>
    <t>Publix Sabor</t>
  </si>
  <si>
    <t>Roy's Restaurant</t>
  </si>
  <si>
    <t>Sinclair Oil</t>
  </si>
  <si>
    <t>T.J. Cinnamons</t>
  </si>
  <si>
    <t>Progressive Insurance</t>
  </si>
  <si>
    <t>Powerhouse Gym</t>
  </si>
  <si>
    <t>Life Time Fitness</t>
  </si>
  <si>
    <t>Wesco</t>
  </si>
  <si>
    <t>GetGo Gas Station</t>
  </si>
  <si>
    <t>Tesoro</t>
  </si>
  <si>
    <t>Hollister</t>
  </si>
  <si>
    <t>Probuild</t>
  </si>
  <si>
    <t>Aldo</t>
  </si>
  <si>
    <t>United Site Services</t>
  </si>
  <si>
    <t>[1891]</t>
  </si>
  <si>
    <t>Papyrus</t>
  </si>
  <si>
    <t>American Apparel</t>
  </si>
  <si>
    <t>Icing</t>
  </si>
  <si>
    <t>[542]</t>
  </si>
  <si>
    <t>InTown Suites Extended Stay At</t>
  </si>
  <si>
    <t>Fred Meyer Jewelers</t>
  </si>
  <si>
    <t>Waldorf Astoria Hotels &amp; Resor</t>
  </si>
  <si>
    <t>Conrad Hotels &amp; Resort</t>
  </si>
  <si>
    <t>Home2 Suites by Hilton</t>
  </si>
  <si>
    <t>Hilton Grand Vacations Club</t>
  </si>
  <si>
    <t>Tilted Kilt Pub &amp; Eatery</t>
  </si>
  <si>
    <t>[1099]</t>
  </si>
  <si>
    <t>Park Hyatt</t>
  </si>
  <si>
    <t>Andaz</t>
  </si>
  <si>
    <t>Grand Hyatt</t>
  </si>
  <si>
    <t>Hyatt Regency</t>
  </si>
  <si>
    <t>Hyatt Place</t>
  </si>
  <si>
    <t>Hyatt Summerfield Suites</t>
  </si>
  <si>
    <t>Hyatt Vacation Club</t>
  </si>
  <si>
    <t>Comfort Suites</t>
  </si>
  <si>
    <t>Peet's Coffee</t>
  </si>
  <si>
    <t>1-800-Radiator &amp; A/C</t>
  </si>
  <si>
    <t>[497]</t>
  </si>
  <si>
    <t>BCBG Max Azria</t>
  </si>
  <si>
    <t>Bevmo!</t>
  </si>
  <si>
    <t>[1116]</t>
  </si>
  <si>
    <t>Body Central</t>
  </si>
  <si>
    <t>Boys &amp; Girls Club</t>
  </si>
  <si>
    <t>Bright Horizons</t>
  </si>
  <si>
    <t>Carter's</t>
  </si>
  <si>
    <t>Pretzelmaker</t>
  </si>
  <si>
    <t>Red Mango</t>
  </si>
  <si>
    <t>Tubby's Grilled Submarines</t>
  </si>
  <si>
    <t>Hibbett Sports</t>
  </si>
  <si>
    <t>Hobby Lobby</t>
  </si>
  <si>
    <t>Z Gallerie</t>
  </si>
  <si>
    <t>Smashburger</t>
  </si>
  <si>
    <t>99 Cents Only Stores</t>
  </si>
  <si>
    <t>A Cleaner World</t>
  </si>
  <si>
    <t>Aaron Brothers Art &amp; Framing</t>
  </si>
  <si>
    <t>ABC Warehouse</t>
  </si>
  <si>
    <t>A.C. Moore</t>
  </si>
  <si>
    <t>[2007]</t>
  </si>
  <si>
    <t>Adidas</t>
  </si>
  <si>
    <t>Advantage Rent A Car</t>
  </si>
  <si>
    <t>Al Phillips The Cleaner</t>
  </si>
  <si>
    <t>Alco</t>
  </si>
  <si>
    <t>Aldi</t>
  </si>
  <si>
    <t>Allsup's Convenience Store</t>
  </si>
  <si>
    <t>Apple Auto Glass</t>
  </si>
  <si>
    <t>Arden B.</t>
  </si>
  <si>
    <t>Associated Bank</t>
  </si>
  <si>
    <t>Athletes World</t>
  </si>
  <si>
    <t>Rue21</t>
  </si>
  <si>
    <t>Stop &amp; Shop</t>
  </si>
  <si>
    <t>Tuesday Morning</t>
  </si>
  <si>
    <t>Axa Equitable</t>
  </si>
  <si>
    <t>Scion</t>
  </si>
  <si>
    <t>Infiniti</t>
  </si>
  <si>
    <t>Woodforest National Bank</t>
  </si>
  <si>
    <t>Sun Life Financial</t>
  </si>
  <si>
    <t>Food Basics</t>
  </si>
  <si>
    <t>Hard Rock Hotel</t>
  </si>
  <si>
    <t>No Frills Supermarket</t>
  </si>
  <si>
    <t>Superfresh</t>
  </si>
  <si>
    <t>Carter Bank &amp; Trust</t>
  </si>
  <si>
    <t>Kwik Shop</t>
  </si>
  <si>
    <t>Biggby Coffee</t>
  </si>
  <si>
    <t>David's Bridal</t>
  </si>
  <si>
    <t>[1735]</t>
  </si>
  <si>
    <t>H&amp;M</t>
  </si>
  <si>
    <t>Mellow Mushroom</t>
  </si>
  <si>
    <t>Ace Parking</t>
  </si>
  <si>
    <t>[1997]</t>
  </si>
  <si>
    <t>Bass PRO Shops</t>
  </si>
  <si>
    <t>Ben Bridge Jeweler</t>
  </si>
  <si>
    <t>Five Below</t>
  </si>
  <si>
    <t>Golden Spoon</t>
  </si>
  <si>
    <t>Pizza Delight</t>
  </si>
  <si>
    <t>Belden Jewelers</t>
  </si>
  <si>
    <t>Planet Fitness</t>
  </si>
  <si>
    <t>Checksmart</t>
  </si>
  <si>
    <t>Fitness USA</t>
  </si>
  <si>
    <t>Bridgestone Americas</t>
  </si>
  <si>
    <t>Cashland</t>
  </si>
  <si>
    <t>Village Inn</t>
  </si>
  <si>
    <t>Joe's Crab Shack</t>
  </si>
  <si>
    <t>Frisch's Big Boy</t>
  </si>
  <si>
    <t>Superpetz</t>
  </si>
  <si>
    <t>Ezmoney Loan Services</t>
  </si>
  <si>
    <t>EZ Money Pawn</t>
  </si>
  <si>
    <t>Rescue Rooter</t>
  </si>
  <si>
    <t>Petland</t>
  </si>
  <si>
    <t>Sheetz</t>
  </si>
  <si>
    <t>Diamond Vogel Paints</t>
  </si>
  <si>
    <t>Onewest Bank</t>
  </si>
  <si>
    <t>Cokesbury Bookstore</t>
  </si>
  <si>
    <t>Dry Cleaning Station</t>
  </si>
  <si>
    <t>Gloria Jean's Coffee</t>
  </si>
  <si>
    <t>Massage Heights</t>
  </si>
  <si>
    <t>[707]</t>
  </si>
  <si>
    <t>Portrait Innovations</t>
  </si>
  <si>
    <t>Children's Orchard</t>
  </si>
  <si>
    <t>Jet's Pizza</t>
  </si>
  <si>
    <t>Books-A-Million</t>
  </si>
  <si>
    <t>CD Warehouse</t>
  </si>
  <si>
    <t>Destination Maternity</t>
  </si>
  <si>
    <t>Visionworks</t>
  </si>
  <si>
    <t>Fannie May Confections</t>
  </si>
  <si>
    <t>Freshens</t>
  </si>
  <si>
    <t>Godiva Chocolatier</t>
  </si>
  <si>
    <t>Loaf 'N Jug</t>
  </si>
  <si>
    <t>Shoe City</t>
  </si>
  <si>
    <t>Littman Jewelers</t>
  </si>
  <si>
    <t>Cottage Inn Pizza</t>
  </si>
  <si>
    <t>Turkey Hill Minit Markets</t>
  </si>
  <si>
    <t>Frullati Cafe</t>
  </si>
  <si>
    <t>AMC Theatres</t>
  </si>
  <si>
    <t>[457]</t>
  </si>
  <si>
    <t>Mimi's Cafe</t>
  </si>
  <si>
    <t>Food City</t>
  </si>
  <si>
    <t>AMF</t>
  </si>
  <si>
    <t>[704]</t>
  </si>
  <si>
    <t>Franklin Covey</t>
  </si>
  <si>
    <t>[2759]</t>
  </si>
  <si>
    <t>Associated Supermarkets</t>
  </si>
  <si>
    <t>Gameworks</t>
  </si>
  <si>
    <t>[2824]</t>
  </si>
  <si>
    <t>Baby Gap</t>
  </si>
  <si>
    <t>Gordmans</t>
  </si>
  <si>
    <t>Halloween Express</t>
  </si>
  <si>
    <t>Loft</t>
  </si>
  <si>
    <t>Maggiano's Little Italy</t>
  </si>
  <si>
    <t>Barneys New York</t>
  </si>
  <si>
    <t>Gap Factory</t>
  </si>
  <si>
    <t>Bass Shoes</t>
  </si>
  <si>
    <t>Off Broadway Shoes</t>
  </si>
  <si>
    <t>Bebe</t>
  </si>
  <si>
    <t>Big Y Market</t>
  </si>
  <si>
    <t>Bliss World</t>
  </si>
  <si>
    <t>H2o Plus</t>
  </si>
  <si>
    <t>Hannaford Supermarkets</t>
  </si>
  <si>
    <t>Harveys Supermarket</t>
  </si>
  <si>
    <t>Bottom Dollar Food</t>
  </si>
  <si>
    <t>Maidenform</t>
  </si>
  <si>
    <t>Max &amp; Erma's</t>
  </si>
  <si>
    <t>Medievaltimes</t>
  </si>
  <si>
    <t>Food Maxx</t>
  </si>
  <si>
    <t>The Picture People</t>
  </si>
  <si>
    <t>Food Town</t>
  </si>
  <si>
    <t>Food World</t>
  </si>
  <si>
    <t>Planet Hollywood</t>
  </si>
  <si>
    <t>Acme Fresh Market</t>
  </si>
  <si>
    <t>Price Chopper</t>
  </si>
  <si>
    <t>Homeland</t>
  </si>
  <si>
    <t>Izod</t>
  </si>
  <si>
    <t>Izod Outlet</t>
  </si>
  <si>
    <t>Jay C Food Store</t>
  </si>
  <si>
    <t>Pricerite</t>
  </si>
  <si>
    <t>P.S. From Aeropostale</t>
  </si>
  <si>
    <t>Kiehl's</t>
  </si>
  <si>
    <t>Kona Grill</t>
  </si>
  <si>
    <t>Quality Food Center</t>
  </si>
  <si>
    <t>Loehmann's</t>
  </si>
  <si>
    <t>Mariano's Fresh Market</t>
  </si>
  <si>
    <t>Met Foods</t>
  </si>
  <si>
    <t>Nob Hill Foods</t>
  </si>
  <si>
    <t>Randalls</t>
  </si>
  <si>
    <t>[456]</t>
  </si>
  <si>
    <t>Pick'n Save</t>
  </si>
  <si>
    <t>Bashas' Market</t>
  </si>
  <si>
    <t>Remke Bigg's</t>
  </si>
  <si>
    <t>Pavilions</t>
  </si>
  <si>
    <t>Ross-Simons</t>
  </si>
  <si>
    <t>Market Street</t>
  </si>
  <si>
    <t>Rug Doctor</t>
  </si>
  <si>
    <t>[2537]</t>
  </si>
  <si>
    <t>GUESS Factory</t>
  </si>
  <si>
    <t>Fry's Food Stores</t>
  </si>
  <si>
    <t>Best Yet Market</t>
  </si>
  <si>
    <t>Sedanos Supermarket</t>
  </si>
  <si>
    <t>Rugby Ralph Lauren</t>
  </si>
  <si>
    <t>King Kullen</t>
  </si>
  <si>
    <t>Brookshire Brothers Food &amp; Pha</t>
  </si>
  <si>
    <t>S &amp; K Famous Brands</t>
  </si>
  <si>
    <t>[1247, 1261, 1241]</t>
  </si>
  <si>
    <t>Fortunoff Backyard Store</t>
  </si>
  <si>
    <t>[29]</t>
  </si>
  <si>
    <t>Hen House Market</t>
  </si>
  <si>
    <t>Samsonite</t>
  </si>
  <si>
    <t>[1110]</t>
  </si>
  <si>
    <t>Save Mart Supermarkets</t>
  </si>
  <si>
    <t>Sears Home Services</t>
  </si>
  <si>
    <t>[2441]</t>
  </si>
  <si>
    <t>Martin's Supermarket</t>
  </si>
  <si>
    <t>Sephora</t>
  </si>
  <si>
    <t>Peck's Market</t>
  </si>
  <si>
    <t>Magruder's</t>
  </si>
  <si>
    <t>Pioneer Supermarket</t>
  </si>
  <si>
    <t>Metropolitan Market</t>
  </si>
  <si>
    <t>Shoe Carnival</t>
  </si>
  <si>
    <t>Buehlers Fresh Foods</t>
  </si>
  <si>
    <t>Hiller's Market</t>
  </si>
  <si>
    <t>Butera Market</t>
  </si>
  <si>
    <t>ShopRite</t>
  </si>
  <si>
    <t>C Town Supermarkets</t>
  </si>
  <si>
    <t>Landis Supermarket</t>
  </si>
  <si>
    <t>Six Flags</t>
  </si>
  <si>
    <t>Hilander</t>
  </si>
  <si>
    <t>Caputos Fresh Market</t>
  </si>
  <si>
    <t>Soma</t>
  </si>
  <si>
    <t>Central Market</t>
  </si>
  <si>
    <t>Champion</t>
  </si>
  <si>
    <t>Key Food</t>
  </si>
  <si>
    <t>Kennie's Marketplace</t>
  </si>
  <si>
    <t>Copps</t>
  </si>
  <si>
    <t>D'agostino's</t>
  </si>
  <si>
    <t>Stein Mart</t>
  </si>
  <si>
    <t>D &amp; W Fresh Market</t>
  </si>
  <si>
    <t>Davids Supermarket</t>
  </si>
  <si>
    <t>Steve Madden</t>
  </si>
  <si>
    <t>Dierbergs Market</t>
  </si>
  <si>
    <t>Sweetbay Supermarket</t>
  </si>
  <si>
    <t>Glen's Markets</t>
  </si>
  <si>
    <t>The Kohler Store</t>
  </si>
  <si>
    <t>[1894]</t>
  </si>
  <si>
    <t>Tigerdirect</t>
  </si>
  <si>
    <t>Dillons</t>
  </si>
  <si>
    <t>Dkny</t>
  </si>
  <si>
    <t>Tom Thumb</t>
  </si>
  <si>
    <t>Drapers &amp; Damons</t>
  </si>
  <si>
    <t>Torrid</t>
  </si>
  <si>
    <t>Ukrop's</t>
  </si>
  <si>
    <t>DSW</t>
  </si>
  <si>
    <t>Vf Outlet</t>
  </si>
  <si>
    <t>Duane Reade</t>
  </si>
  <si>
    <t>Vitamin World</t>
  </si>
  <si>
    <t>Waldbaum's</t>
  </si>
  <si>
    <t>Yankee Candle</t>
  </si>
  <si>
    <t>Earth Fare</t>
  </si>
  <si>
    <t>Econofoods</t>
  </si>
  <si>
    <t>Tadych's Econofoods</t>
  </si>
  <si>
    <t>Esprit</t>
  </si>
  <si>
    <t>Fairway Market</t>
  </si>
  <si>
    <t>Family Christian Stores</t>
  </si>
  <si>
    <t>Family Fare Supermarkets</t>
  </si>
  <si>
    <t>Farm Fresh Supermarkets</t>
  </si>
  <si>
    <t>Festival Foods</t>
  </si>
  <si>
    <t>Fine Fare Supermarket</t>
  </si>
  <si>
    <t>Food 4 Less</t>
  </si>
  <si>
    <t>TravelCenters Of America</t>
  </si>
  <si>
    <t>[1173]</t>
  </si>
  <si>
    <t>Haggen</t>
  </si>
  <si>
    <t>Harding's Friendly Markets</t>
  </si>
  <si>
    <t>IGA</t>
  </si>
  <si>
    <t>Foods Co</t>
  </si>
  <si>
    <t>Balducci's</t>
  </si>
  <si>
    <t>[591]</t>
  </si>
  <si>
    <t>Omaha Steaks</t>
  </si>
  <si>
    <t>American Greetings</t>
  </si>
  <si>
    <t>Oshkosh B'gosh</t>
  </si>
  <si>
    <t>Fresh &amp; Easy</t>
  </si>
  <si>
    <t>G&amp;E Supermarket</t>
  </si>
  <si>
    <t>G&amp;G Supermarket</t>
  </si>
  <si>
    <t>Gerbes</t>
  </si>
  <si>
    <t>Great Scot Community Market</t>
  </si>
  <si>
    <t>Henry's Market</t>
  </si>
  <si>
    <t>Isold IT</t>
  </si>
  <si>
    <t>J&amp;J Foods</t>
  </si>
  <si>
    <t>Coffee Grounz</t>
  </si>
  <si>
    <t>Au Peche Mignon</t>
  </si>
  <si>
    <t>[684]</t>
  </si>
  <si>
    <t>Beethoven &amp; Company</t>
  </si>
  <si>
    <t>[878]</t>
  </si>
  <si>
    <t>Cavatina Music Studio</t>
  </si>
  <si>
    <t>Consignments by Jane</t>
  </si>
  <si>
    <t>Don's Shoe &amp; Leather Repair</t>
  </si>
  <si>
    <t>[744]</t>
  </si>
  <si>
    <t>Lofty Pursuits</t>
  </si>
  <si>
    <t>Christopher &amp; Banks</t>
  </si>
  <si>
    <t>Red Carpet Inn</t>
  </si>
  <si>
    <t>Extended Stay Deluxe Hotel</t>
  </si>
  <si>
    <t>Budget Host Inn</t>
  </si>
  <si>
    <t>Value Place</t>
  </si>
  <si>
    <t>Walmart Neighborhood Market</t>
  </si>
  <si>
    <t>Walmart Discount Store</t>
  </si>
  <si>
    <t>Oak Tree Inn</t>
  </si>
  <si>
    <t>Barbeques Galore</t>
  </si>
  <si>
    <t>BMO Harris Bank</t>
  </si>
  <si>
    <t>PostalAnnex+</t>
  </si>
  <si>
    <t>Frost Bank Financial Center</t>
  </si>
  <si>
    <t>Ultra Diamond</t>
  </si>
  <si>
    <t>Mama Fu's Asian House</t>
  </si>
  <si>
    <t>Hair Masters</t>
  </si>
  <si>
    <t>Cheddar's Scratch Kitchen</t>
  </si>
  <si>
    <t>Chronic Tacos</t>
  </si>
  <si>
    <t>Bealls Outlet</t>
  </si>
  <si>
    <t>Zales Jewelers Outlet</t>
  </si>
  <si>
    <t>Gold's Gym Express</t>
  </si>
  <si>
    <t>Banana Republic Factory Store</t>
  </si>
  <si>
    <t>Williams-Sonoma Outlet</t>
  </si>
  <si>
    <t>Pbteen</t>
  </si>
  <si>
    <t>Johnston &amp; Murphy Factory Stor</t>
  </si>
  <si>
    <t>Aldo Accessories</t>
  </si>
  <si>
    <t>Call IT Spring</t>
  </si>
  <si>
    <t>Bar Louie</t>
  </si>
  <si>
    <t>Louis Vuitton</t>
  </si>
  <si>
    <t>Sprouts Farmers Market</t>
  </si>
  <si>
    <t>Iberiabank</t>
  </si>
  <si>
    <t>Incommons Bank</t>
  </si>
  <si>
    <t>Pioneer Bank</t>
  </si>
  <si>
    <t>NW Plus CU</t>
  </si>
  <si>
    <t>Destinations Credit Union</t>
  </si>
  <si>
    <t>First National Bank and Trust</t>
  </si>
  <si>
    <t>Evergreen Bank Group</t>
  </si>
  <si>
    <t>First Federal Community Bank</t>
  </si>
  <si>
    <t>Security Bank</t>
  </si>
  <si>
    <t>PriorityOne Bank</t>
  </si>
  <si>
    <t>Northstar Bank of Texas</t>
  </si>
  <si>
    <t>Evergreen Credit Union</t>
  </si>
  <si>
    <t>Peoples National Bank</t>
  </si>
  <si>
    <t>A-AAAKey Mini Storage</t>
  </si>
  <si>
    <t>Sun Loan Company</t>
  </si>
  <si>
    <t>[219]</t>
  </si>
  <si>
    <t>KeyMe</t>
  </si>
  <si>
    <t>Academy Sports</t>
  </si>
  <si>
    <t>Accounting Principals</t>
  </si>
  <si>
    <t>Adventist Health Systems</t>
  </si>
  <si>
    <t>[2817]</t>
  </si>
  <si>
    <t>Ajilon</t>
  </si>
  <si>
    <t>Alliant Credit Union</t>
  </si>
  <si>
    <t>America First Credit Union</t>
  </si>
  <si>
    <t>American Airlines Credit Union</t>
  </si>
  <si>
    <t>Army Airfoce Exchange</t>
  </si>
  <si>
    <t>[763]</t>
  </si>
  <si>
    <t>Ascension Health</t>
  </si>
  <si>
    <t>Astoria Bank</t>
  </si>
  <si>
    <t>Aurora Health Care</t>
  </si>
  <si>
    <t>Autonation</t>
  </si>
  <si>
    <t>Bank of Hawaii</t>
  </si>
  <si>
    <t>Bank of Oklahoma</t>
  </si>
  <si>
    <t>Banner Bank</t>
  </si>
  <si>
    <t>Berkshire Bank</t>
  </si>
  <si>
    <t>Bi-Mart</t>
  </si>
  <si>
    <t>Boston Private Bank</t>
  </si>
  <si>
    <t>Brooks Brothers Factory Outlet</t>
  </si>
  <si>
    <t>Burger 21</t>
  </si>
  <si>
    <t>Buybuybaby</t>
  </si>
  <si>
    <t>Capital Bank</t>
  </si>
  <si>
    <t>Capital City Bank</t>
  </si>
  <si>
    <t>Carmike Cinemas</t>
  </si>
  <si>
    <t>Carolina's Health Care System</t>
  </si>
  <si>
    <t>Cathay Bank</t>
  </si>
  <si>
    <t>Central Pacific Bank</t>
  </si>
  <si>
    <t>Christus Health</t>
  </si>
  <si>
    <t>City Sports</t>
  </si>
  <si>
    <t>Coach</t>
  </si>
  <si>
    <t>Cotton Patch Cafe</t>
  </si>
  <si>
    <t>Dignity Health</t>
  </si>
  <si>
    <t>Drury Hotels</t>
  </si>
  <si>
    <t>E-Trade</t>
  </si>
  <si>
    <t>Eastern Bank</t>
  </si>
  <si>
    <t>Eastwest Bank</t>
  </si>
  <si>
    <t>Ecoatm</t>
  </si>
  <si>
    <t>[1424]</t>
  </si>
  <si>
    <t>Eddie V's</t>
  </si>
  <si>
    <t>Elevation Burger</t>
  </si>
  <si>
    <t>Eye Level Learning Center</t>
  </si>
  <si>
    <t>Fanzz</t>
  </si>
  <si>
    <t>First Merchants Bank</t>
  </si>
  <si>
    <t>Firstmidwest Bank</t>
  </si>
  <si>
    <t>Fogo De Chao</t>
  </si>
  <si>
    <t>Foot Action</t>
  </si>
  <si>
    <t>Fox Rent A Car</t>
  </si>
  <si>
    <t>Freddys' Frozen Custard</t>
  </si>
  <si>
    <t>Fulton Bank</t>
  </si>
  <si>
    <t>Fuzzy's Taco Shop</t>
  </si>
  <si>
    <t>Giant Food</t>
  </si>
  <si>
    <t>Good Neighbor Pharmacy</t>
  </si>
  <si>
    <t>Gucci</t>
  </si>
  <si>
    <t>Hertz Equipment Rental</t>
  </si>
  <si>
    <t>HomeGoods</t>
  </si>
  <si>
    <t>Hot Dog on a Stick</t>
  </si>
  <si>
    <t>Indian Health Service</t>
  </si>
  <si>
    <t>Intermountain Health Care</t>
  </si>
  <si>
    <t>Islands Restaurants</t>
  </si>
  <si>
    <t>Jameson Inn</t>
  </si>
  <si>
    <t>Jared: The Galleria of Jewelry</t>
  </si>
  <si>
    <t>Jimmy Jazz</t>
  </si>
  <si>
    <t>Just Tires</t>
  </si>
  <si>
    <t>Kimpton Hotels</t>
  </si>
  <si>
    <t>Lexington Hotels</t>
  </si>
  <si>
    <t>Lululemon</t>
  </si>
  <si>
    <t>Mandarin Oriental</t>
  </si>
  <si>
    <t>Mavis Discount Tire</t>
  </si>
  <si>
    <t>Millennium Hotels</t>
  </si>
  <si>
    <t>Morgan &amp; Morgan</t>
  </si>
  <si>
    <t>Mountain America Credit Union</t>
  </si>
  <si>
    <t>Nando's Peri-Peri</t>
  </si>
  <si>
    <t>Nbt Bancorp</t>
  </si>
  <si>
    <t>New York Community Bank</t>
  </si>
  <si>
    <t>New York Presbyterian Healthca</t>
  </si>
  <si>
    <t>Northwell Health</t>
  </si>
  <si>
    <t>Oakley</t>
  </si>
  <si>
    <t>Ocean Bank</t>
  </si>
  <si>
    <t>Ollie's Bargain</t>
  </si>
  <si>
    <t>Partners Health</t>
  </si>
  <si>
    <t>Peacehealth</t>
  </si>
  <si>
    <t>Penfed Credit Union</t>
  </si>
  <si>
    <t>Pet Stop</t>
  </si>
  <si>
    <t>Pilot Travel Center</t>
  </si>
  <si>
    <t>Pizza Boli's</t>
  </si>
  <si>
    <t>Polo Ralph Lauren</t>
  </si>
  <si>
    <t>Prada</t>
  </si>
  <si>
    <t>Prosperity Bank</t>
  </si>
  <si>
    <t>Providence Health</t>
  </si>
  <si>
    <t>Quick Lane</t>
  </si>
  <si>
    <t>Ralph Lauren</t>
  </si>
  <si>
    <t>Romantix</t>
  </si>
  <si>
    <t>[730]</t>
  </si>
  <si>
    <t>San Diego County Credit Union</t>
  </si>
  <si>
    <t>Santander Bank</t>
  </si>
  <si>
    <t>Security Service Federal Credi</t>
  </si>
  <si>
    <t>Shake Shack</t>
  </si>
  <si>
    <t>Shilo Inn</t>
  </si>
  <si>
    <t>Shriners Hospital for Children</t>
  </si>
  <si>
    <t>Silicon Valley Bank</t>
  </si>
  <si>
    <t>Ssm Healthcare</t>
  </si>
  <si>
    <t>State Employees Credit Union</t>
  </si>
  <si>
    <t>Sunoco</t>
  </si>
  <si>
    <t>[1144]</t>
  </si>
  <si>
    <t>Sutter Health</t>
  </si>
  <si>
    <t>Synovus Bank</t>
  </si>
  <si>
    <t>Talmer Bank and Trust</t>
  </si>
  <si>
    <t>Tenet Healthcare</t>
  </si>
  <si>
    <t>Texas de Brazil</t>
  </si>
  <si>
    <t>Third Federal S&amp;L</t>
  </si>
  <si>
    <t>Trinity Health</t>
  </si>
  <si>
    <t>True Religion</t>
  </si>
  <si>
    <t>Trustmark</t>
  </si>
  <si>
    <t>Umami Burgers</t>
  </si>
  <si>
    <t>Urban Outfitters</t>
  </si>
  <si>
    <t>Van Heusen</t>
  </si>
  <si>
    <t>Vera Bradley</t>
  </si>
  <si>
    <t>Von Maur</t>
  </si>
  <si>
    <t>Whitney Bank</t>
  </si>
  <si>
    <t>Winco Foods</t>
  </si>
  <si>
    <t>Wintrust Bank</t>
  </si>
  <si>
    <t>Yardhouse Restaurants</t>
  </si>
  <si>
    <t>Zero's Subs</t>
  </si>
  <si>
    <t>Pacific Western Bank</t>
  </si>
  <si>
    <t>Texas Car Title &amp; Payday Loans</t>
  </si>
  <si>
    <t>Ohio Auto Loan Services, Inc.</t>
  </si>
  <si>
    <t>Georgia Auto Pawn, Inc.</t>
  </si>
  <si>
    <t>Instaloan</t>
  </si>
  <si>
    <t>United Bank</t>
  </si>
  <si>
    <t>Cricket Wireless Authorized Re</t>
  </si>
  <si>
    <t>Buddy's Home Furnishings</t>
  </si>
  <si>
    <t>[43]</t>
  </si>
  <si>
    <t>Crocs</t>
  </si>
  <si>
    <t>Vista Optical</t>
  </si>
  <si>
    <t>Equinox Fitness Club</t>
  </si>
  <si>
    <t>Baja Auto</t>
  </si>
  <si>
    <t>Experimac</t>
  </si>
  <si>
    <t>Cost-U-Less</t>
  </si>
  <si>
    <t>Happy's Pizza</t>
  </si>
  <si>
    <t>Life Storage</t>
  </si>
  <si>
    <t>[1385]</t>
  </si>
  <si>
    <t>Lennox PartsPlus</t>
  </si>
  <si>
    <t>[1336]</t>
  </si>
  <si>
    <t>Chemical Bank</t>
  </si>
  <si>
    <t>BancFirst</t>
  </si>
  <si>
    <t>Mr. Fuel</t>
  </si>
  <si>
    <t>Ambest</t>
  </si>
  <si>
    <t>Love's Travel Stop</t>
  </si>
  <si>
    <t>[68]</t>
  </si>
  <si>
    <t>Petro</t>
  </si>
  <si>
    <t>Bowlero</t>
  </si>
  <si>
    <t>Brunswick Zone</t>
  </si>
  <si>
    <t>Bowlmor Lanes</t>
  </si>
  <si>
    <t>Le Creuset Outlet Store</t>
  </si>
  <si>
    <t>Service King Collision</t>
  </si>
  <si>
    <t>[1749]</t>
  </si>
  <si>
    <t>Even Hotels</t>
  </si>
  <si>
    <t>Securitas Security Services</t>
  </si>
  <si>
    <t>Bassett Home Furnishings</t>
  </si>
  <si>
    <t>kate spade new york</t>
  </si>
  <si>
    <t>Salon Centric</t>
  </si>
  <si>
    <t>[544]</t>
  </si>
  <si>
    <t>CosmoProf</t>
  </si>
  <si>
    <t>Mattress Firm</t>
  </si>
  <si>
    <t>Woodspring Suites</t>
  </si>
  <si>
    <t>Roosters Men's Grooming Center</t>
  </si>
  <si>
    <t>[449]</t>
  </si>
  <si>
    <t>Freeway Insurance</t>
  </si>
  <si>
    <t>Pinch A Penny Pool Patio Spa</t>
  </si>
  <si>
    <t>CubeSmart Self Storage</t>
  </si>
  <si>
    <t>Pet Food Express</t>
  </si>
  <si>
    <t>BurgerFi</t>
  </si>
  <si>
    <t>First Watch</t>
  </si>
  <si>
    <t>Freshii</t>
  </si>
  <si>
    <t>Habit Burger Grill</t>
  </si>
  <si>
    <t>Healthy Choice</t>
  </si>
  <si>
    <t>Hogi Yogi</t>
  </si>
  <si>
    <t>Kohr Bros</t>
  </si>
  <si>
    <t>Kolache Factory</t>
  </si>
  <si>
    <t>Lee's Sandwiches</t>
  </si>
  <si>
    <t>Lollicup</t>
  </si>
  <si>
    <t>[581]</t>
  </si>
  <si>
    <t>Lou Malnati's</t>
  </si>
  <si>
    <t>Mad Greens</t>
  </si>
  <si>
    <t>Menchie's Frozen Yogurt</t>
  </si>
  <si>
    <t>Monical's Pizza</t>
  </si>
  <si>
    <t>MOOYAH Burgers, Fries &amp; Shakes</t>
  </si>
  <si>
    <t>Mountain Mike's Pizza</t>
  </si>
  <si>
    <t>Nature's Table Cafe</t>
  </si>
  <si>
    <t>Noah's New York Bagels</t>
  </si>
  <si>
    <t>Noble Roman's</t>
  </si>
  <si>
    <t>Nothing But Noodles</t>
  </si>
  <si>
    <t>Oberweis</t>
  </si>
  <si>
    <t>Piccadilly Cafeteria</t>
  </si>
  <si>
    <t>Planet Smoothie</t>
  </si>
  <si>
    <t>Planet Sub</t>
  </si>
  <si>
    <t>Pret A Manger</t>
  </si>
  <si>
    <t>Samurai Sam's</t>
  </si>
  <si>
    <t>[1351]</t>
  </si>
  <si>
    <t>Silver Mine Subs</t>
  </si>
  <si>
    <t>Smoothie Factory</t>
  </si>
  <si>
    <t>Snappy Tomato Pizza</t>
  </si>
  <si>
    <t>Souper Salad</t>
  </si>
  <si>
    <t>Texas Land &amp; Cattle Steak Hous</t>
  </si>
  <si>
    <t>Vocelli Pizza</t>
  </si>
  <si>
    <t>Wayback Burgers</t>
  </si>
  <si>
    <t>First Commonwealth Bank</t>
  </si>
  <si>
    <t>Deseret Industries</t>
  </si>
  <si>
    <t>Deseret Book</t>
  </si>
  <si>
    <t>Flash Foods</t>
  </si>
  <si>
    <t>FedEx Freight</t>
  </si>
  <si>
    <t>SureStay Plus Hotel</t>
  </si>
  <si>
    <t>Surestay Hotel</t>
  </si>
  <si>
    <t>Canopy by Hilton</t>
  </si>
  <si>
    <t>Tru by Hilton</t>
  </si>
  <si>
    <t>AC Hotel by Marriott Minneapol</t>
  </si>
  <si>
    <t>Delta Hotels by Marriott Balti</t>
  </si>
  <si>
    <t>Shaw's Supermarkets</t>
  </si>
  <si>
    <t>Amigos</t>
  </si>
  <si>
    <t>United Supermarkets</t>
  </si>
  <si>
    <t>Albertsons Market</t>
  </si>
  <si>
    <t>Carrs</t>
  </si>
  <si>
    <t>Shop N' Save Food</t>
  </si>
  <si>
    <t>British Swim School</t>
  </si>
  <si>
    <t>[2833]</t>
  </si>
  <si>
    <t>Home Savings Bank</t>
  </si>
  <si>
    <t>Forever 21</t>
  </si>
  <si>
    <t>Charley's Philly Steaks</t>
  </si>
  <si>
    <t>Fitness 19</t>
  </si>
  <si>
    <t>Orangetheory Fitness</t>
  </si>
  <si>
    <t>Elements Massage</t>
  </si>
  <si>
    <t>Blaze Pizza</t>
  </si>
  <si>
    <t>Massage Envy</t>
  </si>
  <si>
    <t>Mapco Express</t>
  </si>
  <si>
    <t>Affordable Dentures &amp; Implants</t>
  </si>
  <si>
    <t>[82]</t>
  </si>
  <si>
    <t>Sun Tan City</t>
  </si>
  <si>
    <t>FedEx Ship Center</t>
  </si>
  <si>
    <t>Hardee's / Red Burrito</t>
  </si>
  <si>
    <t>Gulf Gas Station</t>
  </si>
  <si>
    <t>Holiday Station Store</t>
  </si>
  <si>
    <t>Kum &amp; Go</t>
  </si>
  <si>
    <t>Irving Oil</t>
  </si>
  <si>
    <t>Bank of Hope</t>
  </si>
  <si>
    <t>Bargain Outlet</t>
  </si>
  <si>
    <t>CD One Price Cleaners</t>
  </si>
  <si>
    <t>City Barbeque</t>
  </si>
  <si>
    <t>DriveTime Used Cars</t>
  </si>
  <si>
    <t>Food Fast</t>
  </si>
  <si>
    <t>German American Bank</t>
  </si>
  <si>
    <t>Insureone Insurance Agency</t>
  </si>
  <si>
    <t>Kriser's Natural Pet</t>
  </si>
  <si>
    <t>Main Event Entertainment</t>
  </si>
  <si>
    <t>Metro Diner</t>
  </si>
  <si>
    <t>Midici The Neapolitan Pizza Co</t>
  </si>
  <si>
    <t>Nekter Juice Bar</t>
  </si>
  <si>
    <t>Nrgize</t>
  </si>
  <si>
    <t>Ortho Mattress</t>
  </si>
  <si>
    <t>Plaza Tire Service</t>
  </si>
  <si>
    <t>Protein Bar &amp; Kitchen</t>
  </si>
  <si>
    <t>Road Runner Sports</t>
  </si>
  <si>
    <t>SCORE Mentors Central Valley</t>
  </si>
  <si>
    <t>Simmons Bank</t>
  </si>
  <si>
    <t>Sleep Outfitters</t>
  </si>
  <si>
    <t>Slim Chickens</t>
  </si>
  <si>
    <t>Surplus Warehouse</t>
  </si>
  <si>
    <t>The Egg &amp; I Restaurants</t>
  </si>
  <si>
    <t>Tint World</t>
  </si>
  <si>
    <t>[2589]</t>
  </si>
  <si>
    <t>USAgencies</t>
  </si>
  <si>
    <t>Vern Fonk</t>
  </si>
  <si>
    <t>Wall &amp; Associates, Inc.</t>
  </si>
  <si>
    <t>[1496]</t>
  </si>
  <si>
    <t>Astros</t>
  </si>
  <si>
    <t>Bealls</t>
  </si>
  <si>
    <t>KB Home</t>
  </si>
  <si>
    <t>CEFCO</t>
  </si>
  <si>
    <t>Scrubs &amp; Beyond</t>
  </si>
  <si>
    <t>Mattress Warehouse</t>
  </si>
  <si>
    <t>Abuelo's Mexican Restaurant</t>
  </si>
  <si>
    <t>Texas State Low Cost Insurance</t>
  </si>
  <si>
    <t>BIBIBOP Asian Grill</t>
  </si>
  <si>
    <t>Waco Title Company</t>
  </si>
  <si>
    <t>Polly's Pies Restaurant &amp; Bake</t>
  </si>
  <si>
    <t>Crave American Kitchen &amp; Sushi</t>
  </si>
  <si>
    <t>Driver's Choice</t>
  </si>
  <si>
    <t>Curacao</t>
  </si>
  <si>
    <t>Mattress King</t>
  </si>
  <si>
    <t>Barton's Lumber</t>
  </si>
  <si>
    <t>SKECHERS Warehouse Outlet</t>
  </si>
  <si>
    <t>Donut Connection</t>
  </si>
  <si>
    <t>Burkes Outlet</t>
  </si>
  <si>
    <t>Virginia ABC</t>
  </si>
  <si>
    <t>Cap N' Cork</t>
  </si>
  <si>
    <t>Crown Liquors</t>
  </si>
  <si>
    <t>Belmont Beverage</t>
  </si>
  <si>
    <t>Take 5 Oil Change</t>
  </si>
  <si>
    <t>BJ's Restaurant &amp; Brewhouse</t>
  </si>
  <si>
    <t>Old Dominion Freight Line</t>
  </si>
  <si>
    <t>Dodson Pest Control</t>
  </si>
  <si>
    <t>LaserAway</t>
  </si>
  <si>
    <t>[551]</t>
  </si>
  <si>
    <t>Tryp by Wyndham</t>
  </si>
  <si>
    <t>Charming Charlie</t>
  </si>
  <si>
    <t>[1626]</t>
  </si>
  <si>
    <t>Aladdin Bail Bonds</t>
  </si>
  <si>
    <t>[772]</t>
  </si>
  <si>
    <t>Parker + Lynch</t>
  </si>
  <si>
    <t>Genghis Grill</t>
  </si>
  <si>
    <t>Eileen Fisher</t>
  </si>
  <si>
    <t>First Republic Bank</t>
  </si>
  <si>
    <t>Cavender's Boot City</t>
  </si>
  <si>
    <t>[1271]</t>
  </si>
  <si>
    <t>Lee Hecht Harrison</t>
  </si>
  <si>
    <t>Bank of America Private Bank</t>
  </si>
  <si>
    <t>Independent Bank</t>
  </si>
  <si>
    <t>Allegro Pediatrics - Factoria</t>
  </si>
  <si>
    <t>[178]</t>
  </si>
  <si>
    <t>Games Workshop</t>
  </si>
  <si>
    <t>[1460]</t>
  </si>
  <si>
    <t>Sterling National Bank</t>
  </si>
  <si>
    <t>Savers</t>
  </si>
  <si>
    <t>Paychex</t>
  </si>
  <si>
    <t>[124]</t>
  </si>
  <si>
    <t>Thermo Fisher Scientific</t>
  </si>
  <si>
    <t>[1677]</t>
  </si>
  <si>
    <t>Parts City Auto Parts</t>
  </si>
  <si>
    <t>WaBa Grill</t>
  </si>
  <si>
    <t>Interstate Batteries</t>
  </si>
  <si>
    <t>[2347]</t>
  </si>
  <si>
    <t>Guild Mortgage Company</t>
  </si>
  <si>
    <t>[937]</t>
  </si>
  <si>
    <t>European Wax Center</t>
  </si>
  <si>
    <t>Aftermath Services LLC</t>
  </si>
  <si>
    <t>[2545]</t>
  </si>
  <si>
    <t>Swarovski</t>
  </si>
  <si>
    <t>Hy-Vee Market Grille Express</t>
  </si>
  <si>
    <t>Athleta</t>
  </si>
  <si>
    <t>Value Village</t>
  </si>
  <si>
    <t>Metro PCS</t>
  </si>
  <si>
    <t>Autograph Collection</t>
  </si>
  <si>
    <t>Special Counsel</t>
  </si>
  <si>
    <t>[1802]</t>
  </si>
  <si>
    <t>Horizon Distributors</t>
  </si>
  <si>
    <t>[208]</t>
  </si>
  <si>
    <t>UPMC</t>
  </si>
  <si>
    <t>Club Pilates</t>
  </si>
  <si>
    <t>Fit Body Boot Camp</t>
  </si>
  <si>
    <t>9Round Fitness</t>
  </si>
  <si>
    <t>Burn Boot Camp</t>
  </si>
  <si>
    <t>Fyzical</t>
  </si>
  <si>
    <t>MOD Pizza</t>
  </si>
  <si>
    <t>Amazing Lash Studio</t>
  </si>
  <si>
    <t>CPR Cell Phone Repair</t>
  </si>
  <si>
    <t>911 Restoration</t>
  </si>
  <si>
    <t>[817]</t>
  </si>
  <si>
    <t>Mosquito Joe</t>
  </si>
  <si>
    <t>[207]</t>
  </si>
  <si>
    <t>Pure Barre</t>
  </si>
  <si>
    <t>Painting With A Twist</t>
  </si>
  <si>
    <t>[570]</t>
  </si>
  <si>
    <t>Seva Beauty</t>
  </si>
  <si>
    <t>Scooter's Coffee</t>
  </si>
  <si>
    <t>Hand and Stone Massage and Fac</t>
  </si>
  <si>
    <t>[706]</t>
  </si>
  <si>
    <t>Pinot's Palette</t>
  </si>
  <si>
    <t>Pet Valu</t>
  </si>
  <si>
    <t>Luna Grill</t>
  </si>
  <si>
    <t>Gymguyz</t>
  </si>
  <si>
    <t>Code Ninjas</t>
  </si>
  <si>
    <t>[356]</t>
  </si>
  <si>
    <t>Lush Handmade Cosmetics</t>
  </si>
  <si>
    <t>Winn-Dixie Liquor</t>
  </si>
  <si>
    <t>[1118]</t>
  </si>
  <si>
    <t>Tide Dry Cleaners</t>
  </si>
  <si>
    <t>Woof Gang Bakery</t>
  </si>
  <si>
    <t>[1885]</t>
  </si>
  <si>
    <t>Topgolf</t>
  </si>
  <si>
    <t>[2625]</t>
  </si>
  <si>
    <t>Insomnia Cookies</t>
  </si>
  <si>
    <t>Dogtopia</t>
  </si>
  <si>
    <t>Vasa Fitness</t>
  </si>
  <si>
    <t>Rouses Markets</t>
  </si>
  <si>
    <t>Citi Trends</t>
  </si>
  <si>
    <t>The Children's Place Outlet</t>
  </si>
  <si>
    <t>Gap Body</t>
  </si>
  <si>
    <t>Costa Vida</t>
  </si>
  <si>
    <t>Under Armour Brand House</t>
  </si>
  <si>
    <t>Under Armour Factory House</t>
  </si>
  <si>
    <t>Timberland Factory Store</t>
  </si>
  <si>
    <t>CORT Furniture Outlet</t>
  </si>
  <si>
    <t>[34]</t>
  </si>
  <si>
    <t>Zia Finance</t>
  </si>
  <si>
    <t>Sunbelt Credit</t>
  </si>
  <si>
    <t>Continental Loans</t>
  </si>
  <si>
    <t>Maverick Finance</t>
  </si>
  <si>
    <t>Continental Credit</t>
  </si>
  <si>
    <t>Loyal Companion</t>
  </si>
  <si>
    <t>Natural Pawz</t>
  </si>
  <si>
    <t>Pandora Jewelry</t>
  </si>
  <si>
    <t>Brake Masters</t>
  </si>
  <si>
    <t>[486]</t>
  </si>
  <si>
    <t>Levi's Outlet Store at Tanger</t>
  </si>
  <si>
    <t>PANDORA Jewelry Outlet</t>
  </si>
  <si>
    <t>Coach Factory Outlet</t>
  </si>
  <si>
    <t>White House Black Market Outle</t>
  </si>
  <si>
    <t>Sears Hometown Store</t>
  </si>
  <si>
    <t>Sears Garage Door Installation</t>
  </si>
  <si>
    <t>Sears Maid Services</t>
  </si>
  <si>
    <t>Sears Handyman Solutions</t>
  </si>
  <si>
    <t>Sears Carpet &amp; Air Duct Cleani</t>
  </si>
  <si>
    <t>Abercrombie &amp; Fitch Outlet</t>
  </si>
  <si>
    <t>Aldo Outlet</t>
  </si>
  <si>
    <t>UGG</t>
  </si>
  <si>
    <t>UGG Outlet</t>
  </si>
  <si>
    <t>Vera Bradley Outlet</t>
  </si>
  <si>
    <t>F45 Training</t>
  </si>
  <si>
    <t>Ubreakifix</t>
  </si>
  <si>
    <t>Eddie Bauer Outlet</t>
  </si>
  <si>
    <t>abercrombie kids</t>
  </si>
  <si>
    <t>Sweetgreen</t>
  </si>
  <si>
    <t>Speedy Glass Featuring the NOV</t>
  </si>
  <si>
    <t>Bareburger</t>
  </si>
  <si>
    <t>Cantina Laredo</t>
  </si>
  <si>
    <t>Firebirds Wood Fired Grill</t>
  </si>
  <si>
    <t>The Greene Turtle Sports Bar &amp;</t>
  </si>
  <si>
    <t>Cooper's Hawk Winery &amp; Restaur</t>
  </si>
  <si>
    <t>Carolina Ale House</t>
  </si>
  <si>
    <t>Bad Daddy's Burger Bar</t>
  </si>
  <si>
    <t>Zinburger Wine &amp; Burger Bar</t>
  </si>
  <si>
    <t>Del Frisco's Grille</t>
  </si>
  <si>
    <t>Le Peep</t>
  </si>
  <si>
    <t>AutoTire Car Care Centers</t>
  </si>
  <si>
    <t>Johnny Was</t>
  </si>
  <si>
    <t>Ted Baker</t>
  </si>
  <si>
    <t>The Citizens Bank</t>
  </si>
  <si>
    <t>Green Home Solutions</t>
  </si>
  <si>
    <t>[2558]</t>
  </si>
  <si>
    <t>Sarpino's Pizzeria</t>
  </si>
  <si>
    <t>Ted Baker London Outlet</t>
  </si>
  <si>
    <t>Oxi Fresh Carpet Cleaning</t>
  </si>
  <si>
    <t>Buick</t>
  </si>
  <si>
    <t>Cadillac</t>
  </si>
  <si>
    <t>Chevrolet</t>
  </si>
  <si>
    <t>Chrysler</t>
  </si>
  <si>
    <t>Dodge</t>
  </si>
  <si>
    <t>Ford</t>
  </si>
  <si>
    <t>GMC</t>
  </si>
  <si>
    <t>Jeep</t>
  </si>
  <si>
    <t>Lincoln</t>
  </si>
  <si>
    <t>RAM</t>
  </si>
  <si>
    <t>Tesla</t>
  </si>
  <si>
    <t>Acura</t>
  </si>
  <si>
    <t>Audi</t>
  </si>
  <si>
    <t>BMW</t>
  </si>
  <si>
    <t>Ferrari</t>
  </si>
  <si>
    <t>Fiat</t>
  </si>
  <si>
    <t>Honda</t>
  </si>
  <si>
    <t>Hyundai</t>
  </si>
  <si>
    <t>Jaguar</t>
  </si>
  <si>
    <t>Kia</t>
  </si>
  <si>
    <t>Lamborghini</t>
  </si>
  <si>
    <t>Land Rover</t>
  </si>
  <si>
    <t>Lexus</t>
  </si>
  <si>
    <t>Maserati</t>
  </si>
  <si>
    <t>Mazda</t>
  </si>
  <si>
    <t>Mercedes</t>
  </si>
  <si>
    <t>Mini</t>
  </si>
  <si>
    <t>Mitsubishi</t>
  </si>
  <si>
    <t>Nissan</t>
  </si>
  <si>
    <t>Porsche</t>
  </si>
  <si>
    <t>Subaru</t>
  </si>
  <si>
    <t>Toyota</t>
  </si>
  <si>
    <t>Volkswagen</t>
  </si>
  <si>
    <t>Harley Davidson</t>
  </si>
  <si>
    <t>[98]</t>
  </si>
  <si>
    <t>Indian Motorcycles</t>
  </si>
  <si>
    <t>Arizona State University</t>
  </si>
  <si>
    <t>[357]</t>
  </si>
  <si>
    <t>Boston University</t>
  </si>
  <si>
    <t>Brigham Young</t>
  </si>
  <si>
    <t>California State University Fullerton</t>
  </si>
  <si>
    <t>California State University Long Beach</t>
  </si>
  <si>
    <t>California State University North Ridge</t>
  </si>
  <si>
    <t>DePaul University</t>
  </si>
  <si>
    <t>Florida International University</t>
  </si>
  <si>
    <t>Florida State University</t>
  </si>
  <si>
    <t>Indiana University</t>
  </si>
  <si>
    <t>Iowa State University</t>
  </si>
  <si>
    <t>Michigan State University</t>
  </si>
  <si>
    <t>New York University</t>
  </si>
  <si>
    <t>North Carolina State</t>
  </si>
  <si>
    <t>Northeastern University</t>
  </si>
  <si>
    <t>Ohio State</t>
  </si>
  <si>
    <t>Penn State</t>
  </si>
  <si>
    <t>Purdue University</t>
  </si>
  <si>
    <t>Rutgers University</t>
  </si>
  <si>
    <t>Texas AM University</t>
  </si>
  <si>
    <t>Texas State University</t>
  </si>
  <si>
    <t>UC Berkeley</t>
  </si>
  <si>
    <t>UC Davis</t>
  </si>
  <si>
    <t>UC Irvine</t>
  </si>
  <si>
    <t>UCLA</t>
  </si>
  <si>
    <t>UNC Chapel Hill</t>
  </si>
  <si>
    <t>University of Alabama</t>
  </si>
  <si>
    <t>University of Arizona</t>
  </si>
  <si>
    <t>University of Central Florida</t>
  </si>
  <si>
    <t>University of Cincinnati</t>
  </si>
  <si>
    <t>University of Florida</t>
  </si>
  <si>
    <t>University of Illinois</t>
  </si>
  <si>
    <t>University of Maryland</t>
  </si>
  <si>
    <t>University of Michigan</t>
  </si>
  <si>
    <t>University of Minnesota</t>
  </si>
  <si>
    <t>University of Missouri</t>
  </si>
  <si>
    <t>University of Washington</t>
  </si>
  <si>
    <t>University of Wisconsin</t>
  </si>
  <si>
    <t>USC</t>
  </si>
  <si>
    <t>UT Austin</t>
  </si>
  <si>
    <t>NFL</t>
  </si>
  <si>
    <t>[835]</t>
  </si>
  <si>
    <t>NBA</t>
  </si>
  <si>
    <t>NHL</t>
  </si>
  <si>
    <t>MLB</t>
  </si>
  <si>
    <t>Nascar</t>
  </si>
  <si>
    <t>[1576]</t>
  </si>
  <si>
    <t>Boyd Gaming Corp</t>
  </si>
  <si>
    <t>[2391]</t>
  </si>
  <si>
    <t>Caesars Entertainment</t>
  </si>
  <si>
    <t>Churchill Downs Inc</t>
  </si>
  <si>
    <t>Empire Resorts</t>
  </si>
  <si>
    <t>Full House Resorts</t>
  </si>
  <si>
    <t>Golden Entertainment</t>
  </si>
  <si>
    <t>Las Vegas Sands</t>
  </si>
  <si>
    <t>MGM Resorts</t>
  </si>
  <si>
    <t>Penn National Gaming</t>
  </si>
  <si>
    <t>Red Rock Resorts Inc</t>
  </si>
  <si>
    <t>Wynn Resorts</t>
  </si>
  <si>
    <t>New York Sports Club</t>
  </si>
  <si>
    <t>Boston Sports Club</t>
  </si>
  <si>
    <t>Philadelphia Sports Club</t>
  </si>
  <si>
    <t>Washington Sports Club</t>
  </si>
  <si>
    <t>UFC Gym</t>
  </si>
  <si>
    <t>Cinemark Theaters</t>
  </si>
  <si>
    <t>Amscot</t>
  </si>
  <si>
    <t>[865]</t>
  </si>
  <si>
    <t>Speedy Cash</t>
  </si>
  <si>
    <t>Title Max</t>
  </si>
  <si>
    <t>Eriks Deli</t>
  </si>
  <si>
    <t>Piada</t>
  </si>
  <si>
    <t>Duluth Trading</t>
  </si>
  <si>
    <t>Car Toys</t>
  </si>
  <si>
    <t>Xfinity</t>
  </si>
  <si>
    <t>LL Bean</t>
  </si>
  <si>
    <t>Citgo</t>
  </si>
  <si>
    <t>[1166]</t>
  </si>
  <si>
    <t>Ez Mart</t>
  </si>
  <si>
    <t>Marathon</t>
  </si>
  <si>
    <t>Murphy</t>
  </si>
  <si>
    <t>Quick Chek</t>
  </si>
  <si>
    <t>Quik Stop</t>
  </si>
  <si>
    <t>Quik Trip</t>
  </si>
  <si>
    <t>Stripes</t>
  </si>
  <si>
    <t>American Signature</t>
  </si>
  <si>
    <t>Arhaus Furniture</t>
  </si>
  <si>
    <t>Bobs Furniture</t>
  </si>
  <si>
    <t>Havertys</t>
  </si>
  <si>
    <t>Jeromes Furniture</t>
  </si>
  <si>
    <t>Jordans Furniture</t>
  </si>
  <si>
    <t>Living Spaces Furniture</t>
  </si>
  <si>
    <t>Raymour Flanigan</t>
  </si>
  <si>
    <t>Value City</t>
  </si>
  <si>
    <t>West Elm</t>
  </si>
  <si>
    <t>Arco</t>
  </si>
  <si>
    <t>Hornbachers</t>
  </si>
  <si>
    <t>Sendiks</t>
  </si>
  <si>
    <t>Tops Friendly Markets</t>
  </si>
  <si>
    <t>Woodmans Market</t>
  </si>
  <si>
    <t>Floor And Decor</t>
  </si>
  <si>
    <t>Binnys Beverage Depot</t>
  </si>
  <si>
    <t>Specs</t>
  </si>
  <si>
    <t>Total Wine</t>
  </si>
  <si>
    <t>Pet Supermarket</t>
  </si>
  <si>
    <t>Columbia Sportswear</t>
  </si>
  <si>
    <t>Golfers Warehouse</t>
  </si>
  <si>
    <t>Moosejaw</t>
  </si>
  <si>
    <t>PGA</t>
  </si>
  <si>
    <t>Scheels</t>
  </si>
  <si>
    <t>The North Face</t>
  </si>
  <si>
    <t>Titlenine</t>
  </si>
  <si>
    <t>Vans Golf</t>
  </si>
  <si>
    <t>Unita</t>
  </si>
  <si>
    <t>Ascend</t>
  </si>
  <si>
    <t>Curio</t>
  </si>
  <si>
    <t>Gaylord Hotels</t>
  </si>
  <si>
    <t>Holiday Inn Resorts</t>
  </si>
  <si>
    <t>Hyatt House</t>
  </si>
  <si>
    <t>The Luxury Collection Hotels</t>
  </si>
  <si>
    <t>Wyndham Garden</t>
  </si>
  <si>
    <t>Wyndham Grand</t>
  </si>
  <si>
    <t>ATL</t>
  </si>
  <si>
    <t>BOS</t>
  </si>
  <si>
    <t>BWI</t>
  </si>
  <si>
    <t>CLT</t>
  </si>
  <si>
    <t>DCA</t>
  </si>
  <si>
    <t>DEN</t>
  </si>
  <si>
    <t>DFW</t>
  </si>
  <si>
    <t>DTW</t>
  </si>
  <si>
    <t>EWR</t>
  </si>
  <si>
    <t>FLL</t>
  </si>
  <si>
    <t>HNL</t>
  </si>
  <si>
    <t>IAD</t>
  </si>
  <si>
    <t>IAH</t>
  </si>
  <si>
    <t>JFK</t>
  </si>
  <si>
    <t>LAS</t>
  </si>
  <si>
    <t>LAX</t>
  </si>
  <si>
    <t>LGA</t>
  </si>
  <si>
    <t>MCO</t>
  </si>
  <si>
    <t>MDW</t>
  </si>
  <si>
    <t>MIA</t>
  </si>
  <si>
    <t>MSP</t>
  </si>
  <si>
    <t>ORD</t>
  </si>
  <si>
    <t>PDX</t>
  </si>
  <si>
    <t>PHL</t>
  </si>
  <si>
    <t>PHX</t>
  </si>
  <si>
    <t>SAN</t>
  </si>
  <si>
    <t>SEA</t>
  </si>
  <si>
    <t>SFO</t>
  </si>
  <si>
    <t>SLC</t>
  </si>
  <si>
    <t>TPA</t>
  </si>
  <si>
    <t>Alaska</t>
  </si>
  <si>
    <t>Allegiant</t>
  </si>
  <si>
    <t>American</t>
  </si>
  <si>
    <t>Delta</t>
  </si>
  <si>
    <t>Frontier</t>
  </si>
  <si>
    <t>Hawaiian</t>
  </si>
  <si>
    <t>Jet Blue</t>
  </si>
  <si>
    <t>Southwest</t>
  </si>
  <si>
    <t>Spirit</t>
  </si>
  <si>
    <t>United</t>
  </si>
  <si>
    <t>Virgin</t>
  </si>
  <si>
    <t>Virgin America</t>
  </si>
  <si>
    <t>Westjet</t>
  </si>
  <si>
    <t>Disneyland</t>
  </si>
  <si>
    <t>Disneyworld</t>
  </si>
  <si>
    <t>Seaworld</t>
  </si>
  <si>
    <t>Universal</t>
  </si>
  <si>
    <t>Walt Disney Parks and Resorts</t>
  </si>
  <si>
    <t>LEGOLAND</t>
  </si>
  <si>
    <t>Ripley's Entertainment Inc</t>
  </si>
  <si>
    <t>Monarch Casino and Resort</t>
  </si>
  <si>
    <t>parent_id</t>
  </si>
  <si>
    <t>Automobile - Dealers</t>
  </si>
  <si>
    <t>Automobile Dealers Antique &amp; Classic</t>
  </si>
  <si>
    <t>Automobile Dealers New &amp; Used</t>
  </si>
  <si>
    <t>Automobile Dealers Used Cars &amp; Vans</t>
  </si>
  <si>
    <t>Automobile Dealers Used Cars Wholesale</t>
  </si>
  <si>
    <t>Automobile Leasing</t>
  </si>
  <si>
    <t>Automobile Manufacturers &amp; Distributors</t>
  </si>
  <si>
    <t>Automobile Race Cars</t>
  </si>
  <si>
    <t>Automobile Wholesalers</t>
  </si>
  <si>
    <t>Automotive Consultant</t>
  </si>
  <si>
    <t>Truck Dealers Used</t>
  </si>
  <si>
    <t>Real Estate - Appraisers</t>
  </si>
  <si>
    <t>Real Estate Appraisers</t>
  </si>
  <si>
    <t>Residential Contractors</t>
  </si>
  <si>
    <t>Real Estate - Title Companies</t>
  </si>
  <si>
    <t>Abstracters</t>
  </si>
  <si>
    <t>Title Companies &amp; Agents</t>
  </si>
  <si>
    <t>Furniture</t>
  </si>
  <si>
    <t>Bar Fixtures &amp; Equipment</t>
  </si>
  <si>
    <t>Beds Retail</t>
  </si>
  <si>
    <t>Church Furnishings</t>
  </si>
  <si>
    <t>Clocks</t>
  </si>
  <si>
    <t>Furniture Childrens</t>
  </si>
  <si>
    <t>Furniture Custom Made</t>
  </si>
  <si>
    <t>Furniture Dealers</t>
  </si>
  <si>
    <t>Furniture Designers &amp; Custom Builders</t>
  </si>
  <si>
    <t>Furniture Manufacturers</t>
  </si>
  <si>
    <t>Furniture Manufacturers Equipment &amp; Supplies</t>
  </si>
  <si>
    <t>Furniture Outdoor</t>
  </si>
  <si>
    <t>Furniture Renting &amp; Leasing</t>
  </si>
  <si>
    <t>Furniture Repairing &amp; Refinishing</t>
  </si>
  <si>
    <t>Furniture Stripping</t>
  </si>
  <si>
    <t>Furniture Unfinished</t>
  </si>
  <si>
    <t>Furniture Used</t>
  </si>
  <si>
    <t>Furniture Wholesale</t>
  </si>
  <si>
    <t>Futons &amp; Accessories</t>
  </si>
  <si>
    <t>Home Furnishings</t>
  </si>
  <si>
    <t>Lockers</t>
  </si>
  <si>
    <t>Office Furniture &amp; Equipment Repairing &amp; Refinishing</t>
  </si>
  <si>
    <t>Partitions &amp; Dividers</t>
  </si>
  <si>
    <t>Patio Porch &amp; Deck Covers &amp; Enclosures</t>
  </si>
  <si>
    <t>Pillow Renovating</t>
  </si>
  <si>
    <t>Rent To Own Stores</t>
  </si>
  <si>
    <t>Waterbeds Dealers Services Supplies Etc</t>
  </si>
  <si>
    <t>Automobile - Parts &amp; Accessories</t>
  </si>
  <si>
    <t>Alternators &amp; Generators Automotive</t>
  </si>
  <si>
    <t>Automobile Accessories &amp; Trim</t>
  </si>
  <si>
    <t>Automobile Air Conditioning Equipment &amp; Supplies</t>
  </si>
  <si>
    <t>Automobile Alarms &amp; Security Systems</t>
  </si>
  <si>
    <t>Automobile Bumpers Bumper Guards &amp; Grilles</t>
  </si>
  <si>
    <t>Automobile Parts &amp; Supplies</t>
  </si>
  <si>
    <t>Automobile Parts &amp; Supplies Antique &amp; Classic</t>
  </si>
  <si>
    <t>Automobile Parts &amp; Supplies Manufacturers</t>
  </si>
  <si>
    <t>Automobile Parts &amp; Supplies Used &amp; Rebuilt</t>
  </si>
  <si>
    <t>Automobile Parts &amp; Supplies Wholesale &amp; Manufacturers</t>
  </si>
  <si>
    <t>Automobile Radiators</t>
  </si>
  <si>
    <t>Automobile Repair &amp; Service Equipment &amp; Supplies</t>
  </si>
  <si>
    <t>Automobile Salvage</t>
  </si>
  <si>
    <t>Automobile Seat Covers Tops &amp; Upholstery</t>
  </si>
  <si>
    <t>Automobile Seat Covers Tops &amp; Upholstery Materials &amp; Equipment Distributors &amp; Manufacturers</t>
  </si>
  <si>
    <t>Automobile Springs</t>
  </si>
  <si>
    <t>Automobile Sunroofs</t>
  </si>
  <si>
    <t>Automotive Performance Racing &amp; Sports Car Equipment</t>
  </si>
  <si>
    <t>Batteries Retail</t>
  </si>
  <si>
    <t>Electric Motors Dealers &amp; Repairing</t>
  </si>
  <si>
    <t>Electric Motors Sales Repair &amp; Parts</t>
  </si>
  <si>
    <t>Engines Diesel Fuel Injection Service &amp; Parts</t>
  </si>
  <si>
    <t>Engines Gasoline</t>
  </si>
  <si>
    <t>Engines Supplies Equipment &amp; Parts</t>
  </si>
  <si>
    <t>Filtering Materials &amp; Supplies</t>
  </si>
  <si>
    <t>Glass Automobile</t>
  </si>
  <si>
    <t>Glass Automobile Plate Window Etc Wholesale &amp; Manufacturers</t>
  </si>
  <si>
    <t>Mufflers &amp; Exhaust Systems</t>
  </si>
  <si>
    <t>Racks</t>
  </si>
  <si>
    <t>Radiators Automotive Wholesale &amp; Manufacturers</t>
  </si>
  <si>
    <t>Speedometers Retail</t>
  </si>
  <si>
    <t>Trailer Equipment &amp; Parts</t>
  </si>
  <si>
    <t>Van Conversions &amp; Accessories</t>
  </si>
  <si>
    <t>Wheels &amp; Wheel Covers</t>
  </si>
  <si>
    <t>Dentists</t>
  </si>
  <si>
    <t>Dental Hygienists</t>
  </si>
  <si>
    <t>Dental Laboratories</t>
  </si>
  <si>
    <t>Dental Service Plans</t>
  </si>
  <si>
    <t>Dentist Cosmetic Dentistry</t>
  </si>
  <si>
    <t>Dentist Endodontists Root Canals</t>
  </si>
  <si>
    <t>Dentist Oral &amp; Maxillofacial Surgeons</t>
  </si>
  <si>
    <t>Dentist Orthodontists</t>
  </si>
  <si>
    <t>Dentist Pediatric</t>
  </si>
  <si>
    <t>Dentist Periodontist Gum Diseases</t>
  </si>
  <si>
    <t>Dentist Prosthodontists Crowns Bridges Dentures</t>
  </si>
  <si>
    <t>Denture Service Centers</t>
  </si>
  <si>
    <t>Teeth Whitening Products &amp; Services</t>
  </si>
  <si>
    <t>Automobile - Rentals</t>
  </si>
  <si>
    <t>Automobile Renting &amp; Leasing</t>
  </si>
  <si>
    <t>Trailers Rent &amp; Lease</t>
  </si>
  <si>
    <t>Truck Renting &amp; Leasing</t>
  </si>
  <si>
    <t>Automobile - Towing</t>
  </si>
  <si>
    <t>Motorcycles &amp; Motor Sports</t>
  </si>
  <si>
    <t>All Terrain Vehicles</t>
  </si>
  <si>
    <t>Go Carts</t>
  </si>
  <si>
    <t>Golf Cars &amp; Carts</t>
  </si>
  <si>
    <t>Mopeds</t>
  </si>
  <si>
    <t>Motorcycle &amp; Motor Scooter Renting &amp; Leasing</t>
  </si>
  <si>
    <t>Motorcycle &amp; Motor Scooter Repair &amp; Service</t>
  </si>
  <si>
    <t>Motorcycle &amp; Motor Scooter Supplies Parts &amp; Accessories</t>
  </si>
  <si>
    <t>Motorcycles &amp; Motor Scooters</t>
  </si>
  <si>
    <t>Snowmobiles</t>
  </si>
  <si>
    <t>Snowmobiles Rentals &amp; Tours</t>
  </si>
  <si>
    <t>Snowmobiles Repairing &amp; Service</t>
  </si>
  <si>
    <t>Automobile - Tires</t>
  </si>
  <si>
    <t>Tire Dealers</t>
  </si>
  <si>
    <t>Tire Dealers Used</t>
  </si>
  <si>
    <t>Tire Distributors &amp; Manufacturers</t>
  </si>
  <si>
    <t>Tire Retreading &amp; Repairing Equipment &amp; Supplies</t>
  </si>
  <si>
    <t>Tires Retreading &amp; Repairing</t>
  </si>
  <si>
    <t>Florists</t>
  </si>
  <si>
    <t>Florist Retail</t>
  </si>
  <si>
    <t>Florists Supplies</t>
  </si>
  <si>
    <t>Florists Wholesale</t>
  </si>
  <si>
    <t>Flowers Plants &amp; Trees Silk Dried Etc</t>
  </si>
  <si>
    <t>Insurance</t>
  </si>
  <si>
    <t>Adjusters</t>
  </si>
  <si>
    <t>Bonds Fidelity &amp; Surety</t>
  </si>
  <si>
    <t>Employee Benefit &amp; Compensation Plans</t>
  </si>
  <si>
    <t>Health Insurance Plans</t>
  </si>
  <si>
    <t>Health Maintenance Organizations (hmo)</t>
  </si>
  <si>
    <t>Home &amp; Automobile Warranty Service</t>
  </si>
  <si>
    <t>Insurance Adjusters</t>
  </si>
  <si>
    <t>Insurance Automobile</t>
  </si>
  <si>
    <t>Insurance Claim Processing Services</t>
  </si>
  <si>
    <t>Insurance Farm</t>
  </si>
  <si>
    <t>Insurance Homeowners</t>
  </si>
  <si>
    <t>Insurance Medicare Supplements</t>
  </si>
  <si>
    <t>Insurance Mobile Home</t>
  </si>
  <si>
    <t>Insurance Motorcycle</t>
  </si>
  <si>
    <t>Insurance Property &amp; Casualty</t>
  </si>
  <si>
    <t>Insurance Title</t>
  </si>
  <si>
    <t>Life Insurance</t>
  </si>
  <si>
    <t>Medical Examinations Insurance</t>
  </si>
  <si>
    <t>Medical Groups</t>
  </si>
  <si>
    <t>Veterinarians</t>
  </si>
  <si>
    <t>Veterinary Clinics &amp; Hospitals</t>
  </si>
  <si>
    <t>Veterinary Equipment &amp; Supplies</t>
  </si>
  <si>
    <t>Physicians - Gastroenterology</t>
  </si>
  <si>
    <t>Physicians &amp; Surgeons Bariatric Medicine</t>
  </si>
  <si>
    <t>Physicians &amp; Surgeons Gastroenterology</t>
  </si>
  <si>
    <t>Contractors - Plumbers &amp; Plumbing</t>
  </si>
  <si>
    <t>Plumbing Contractors</t>
  </si>
  <si>
    <t>Body Piercing &amp; Tattoos</t>
  </si>
  <si>
    <t>Body Piercing</t>
  </si>
  <si>
    <t>Ear Piercing Service</t>
  </si>
  <si>
    <t>Piercing Ear &amp; Body</t>
  </si>
  <si>
    <t>Tattooing</t>
  </si>
  <si>
    <t>Physicians - Dermatology</t>
  </si>
  <si>
    <t>Physicians &amp; Surgeons Dermatology</t>
  </si>
  <si>
    <t>Physicians - Ear, Nose &amp; Throat</t>
  </si>
  <si>
    <t>Physicians &amp; Surgeons Otolaryngology</t>
  </si>
  <si>
    <t>Physicians &amp; Surgeons Otorhinolaryngology</t>
  </si>
  <si>
    <t>Physicians - Oncology &amp; Hematology</t>
  </si>
  <si>
    <t>Physicians &amp; Surgeons Hematology</t>
  </si>
  <si>
    <t>Physicians &amp; Surgeons Oncology</t>
  </si>
  <si>
    <t>Hotels, Motels, &amp; Lodging</t>
  </si>
  <si>
    <t>Bed &amp; Breakfast Accommodations</t>
  </si>
  <si>
    <t>Cottages &amp; Cabins</t>
  </si>
  <si>
    <t>Hostels</t>
  </si>
  <si>
    <t>Hotel &amp; Motel Equipment &amp; Supplies</t>
  </si>
  <si>
    <t>Hotel &amp; Motel Management</t>
  </si>
  <si>
    <t>Hotels &amp; Motels</t>
  </si>
  <si>
    <t>Inns</t>
  </si>
  <si>
    <t>Lodges</t>
  </si>
  <si>
    <t>Miscellaneous Lodging</t>
  </si>
  <si>
    <t>Vacation Homes Rentals</t>
  </si>
  <si>
    <t>Physicians - Neurology &amp; Neurosurgery</t>
  </si>
  <si>
    <t>Physicians &amp; Surgeons Neurology</t>
  </si>
  <si>
    <t>Physicians &amp; Surgeons Neurosurgery</t>
  </si>
  <si>
    <t>Physicians - Pediatrics</t>
  </si>
  <si>
    <t>Physicians &amp; Surgeons Pediatric Allergy</t>
  </si>
  <si>
    <t>Physicians &amp; Surgeons Pediatrics</t>
  </si>
  <si>
    <t>Physicians - Podiatry</t>
  </si>
  <si>
    <t>Physicians &amp; Surgeons Dpm Podiatrists</t>
  </si>
  <si>
    <t>Physical Therapy &amp; Rehabilitation</t>
  </si>
  <si>
    <t>Physical Therapists</t>
  </si>
  <si>
    <t>Physicians &amp; Surgeons Occupational Medicine</t>
  </si>
  <si>
    <t>Physicians &amp; Surgeons Pain Management</t>
  </si>
  <si>
    <t>Physicians &amp; Surgeons Physical Medicine &amp; Rehabilitation</t>
  </si>
  <si>
    <t>Physicians &amp; Surgeons Rheumatology</t>
  </si>
  <si>
    <t>Physicians &amp; Surgeons Sports Medicine</t>
  </si>
  <si>
    <t>Rehabilitation Services</t>
  </si>
  <si>
    <t>Pharmacies</t>
  </si>
  <si>
    <t>Pharmaceutical Consultants</t>
  </si>
  <si>
    <t>Pharmaceutical Products Wholesale &amp; Manufacturers</t>
  </si>
  <si>
    <t>Physicians - Pathology</t>
  </si>
  <si>
    <t>Physicians &amp; Surgeons Infectious Disease</t>
  </si>
  <si>
    <t>Physicians &amp; Surgeons Pathology</t>
  </si>
  <si>
    <t>Child Care Centers &amp; Services</t>
  </si>
  <si>
    <t>Baby Sitters</t>
  </si>
  <si>
    <t>Child Care Services</t>
  </si>
  <si>
    <t>Day Care Centers &amp; Nurseries</t>
  </si>
  <si>
    <t>Nanny Services</t>
  </si>
  <si>
    <t>Nurseries &amp; Garden Centers</t>
  </si>
  <si>
    <t>Christmas Trees</t>
  </si>
  <si>
    <t>Fertilizers Dealers</t>
  </si>
  <si>
    <t>Fertilizers Wholesale &amp; Manufacturers</t>
  </si>
  <si>
    <t>Fountains &amp; Waterfalls</t>
  </si>
  <si>
    <t>Garden Centers</t>
  </si>
  <si>
    <t>Hydroponics Equipment &amp; Supplies</t>
  </si>
  <si>
    <t>Insecticides</t>
  </si>
  <si>
    <t>Landscape Equipment &amp; Supplies</t>
  </si>
  <si>
    <t>Lawn Mowers</t>
  </si>
  <si>
    <t>Nurseries Plants Trees Etc Retail</t>
  </si>
  <si>
    <t>Nurseries Plants Trees Etc Wholesale</t>
  </si>
  <si>
    <t>Plants Retail</t>
  </si>
  <si>
    <t>Ponds Equipment &amp; Supplies</t>
  </si>
  <si>
    <t>Seeds &amp; Bulbs Retail</t>
  </si>
  <si>
    <t>Sod Farms &amp; Sales</t>
  </si>
  <si>
    <t>Physicians - Endocrinology &amp; Diabetes</t>
  </si>
  <si>
    <t>Physicians &amp; Surgeons Diabetes</t>
  </si>
  <si>
    <t>Physicians &amp; Surgeons Endocrinology</t>
  </si>
  <si>
    <t>Savings &amp; Loans Associations</t>
  </si>
  <si>
    <t>Allergy &amp; Immunology</t>
  </si>
  <si>
    <t>Physicians &amp; Surgeons Allergy Asthma &amp; Immunology</t>
  </si>
  <si>
    <t>Physicians - Cardiovascular &amp; Pulmonary</t>
  </si>
  <si>
    <t>Physicians &amp; Surgeons Cardiology</t>
  </si>
  <si>
    <t>Physicians &amp; Surgeons Pulmonary Diseases</t>
  </si>
  <si>
    <t>Physicians &amp; Surgeons Surgery Cardiovascular</t>
  </si>
  <si>
    <t>Physicians &amp; Surgeons Surgery Thoracic</t>
  </si>
  <si>
    <t>Physicians &amp; Surgeons Surgery Vascular</t>
  </si>
  <si>
    <t>Restaurants</t>
  </si>
  <si>
    <t>Cafes</t>
  </si>
  <si>
    <t>Coffee Houses &amp; Tea Rooms</t>
  </si>
  <si>
    <t>Coffee Roasting</t>
  </si>
  <si>
    <t>Food Service Distributors</t>
  </si>
  <si>
    <t>Ice Cream Freezers Sales</t>
  </si>
  <si>
    <t>Ice Cream Parlors Consumer</t>
  </si>
  <si>
    <t>Restaurants Barbecue</t>
  </si>
  <si>
    <t>Restaurants Cafeterias</t>
  </si>
  <si>
    <t>Restaurants Chinese</t>
  </si>
  <si>
    <t>Restaurants Delivery Service &amp; Take Out</t>
  </si>
  <si>
    <t>Restaurants Dining</t>
  </si>
  <si>
    <t>Restaurants Fast Food</t>
  </si>
  <si>
    <t>Restaurants Mexican</t>
  </si>
  <si>
    <t>Restaurants Pizza</t>
  </si>
  <si>
    <t>Restaurants Seafood</t>
  </si>
  <si>
    <t>Office Services, Supplies &amp; Equipment</t>
  </si>
  <si>
    <t>Bar Coding Equipment &amp; Systems</t>
  </si>
  <si>
    <t>Blueprinting Equipment &amp; Supplies</t>
  </si>
  <si>
    <t>Calculators Adding Machines &amp; Supplies</t>
  </si>
  <si>
    <t>Card Access Control Systems</t>
  </si>
  <si>
    <t>Cash Registers &amp; Supplies</t>
  </si>
  <si>
    <t>Check Protection Signing &amp; Endorsing Equipment</t>
  </si>
  <si>
    <t>Copiers &amp; Copier Supplies</t>
  </si>
  <si>
    <t>Copiers Service &amp; Repair</t>
  </si>
  <si>
    <t>Credit Card &amp; Other Credit Plans Equipment &amp; Supplies</t>
  </si>
  <si>
    <t>Dictating Machines &amp; Supplies</t>
  </si>
  <si>
    <t>Envelopes Wholesale &amp; Manufacturers</t>
  </si>
  <si>
    <t>Ergonomics</t>
  </si>
  <si>
    <t>Fax Equipment &amp; Systems Service &amp; Repair</t>
  </si>
  <si>
    <t>Filing Equipment Systems &amp; Supplies</t>
  </si>
  <si>
    <t>Identification Card Service</t>
  </si>
  <si>
    <t>Identification Equipment &amp; Supplies</t>
  </si>
  <si>
    <t>Invitations &amp; Announcements All Types</t>
  </si>
  <si>
    <t>Labels</t>
  </si>
  <si>
    <t>Labels Paper</t>
  </si>
  <si>
    <t>Laminating Equipment &amp; Supplies</t>
  </si>
  <si>
    <t>Laminating Plastic Paper Etc</t>
  </si>
  <si>
    <t>Laser Printers &amp; Supplies</t>
  </si>
  <si>
    <t>Legal Forms</t>
  </si>
  <si>
    <t>Mailing Machines Equipment &amp; Supplies</t>
  </si>
  <si>
    <t>Microfilm Service Equipment &amp; Supplies</t>
  </si>
  <si>
    <t>Office &amp; Desk Space Rental Service</t>
  </si>
  <si>
    <t>Office Furniture &amp; Equipment Dealers</t>
  </si>
  <si>
    <t>Office Furniture &amp; Equipment Installation</t>
  </si>
  <si>
    <t>Office Furniture &amp; Equipment Rental &amp; Leasing</t>
  </si>
  <si>
    <t>Office Furniture &amp; Equipment Wholesale &amp; Manufacturers</t>
  </si>
  <si>
    <t>Office Machines &amp; Supplies</t>
  </si>
  <si>
    <t>Office Records Destruction</t>
  </si>
  <si>
    <t>Office Supplies</t>
  </si>
  <si>
    <t>Organizing Products &amp; Services Household &amp; Business</t>
  </si>
  <si>
    <t>Paint Retail</t>
  </si>
  <si>
    <t>Paper Shredding Machinery</t>
  </si>
  <si>
    <t>Pens &amp; Pencils Retail</t>
  </si>
  <si>
    <t>Pens &amp; Pencils Wholesale &amp; Manufacturers</t>
  </si>
  <si>
    <t>Rubber Stamps</t>
  </si>
  <si>
    <t>Staples Staplers &amp; Tackers</t>
  </si>
  <si>
    <t>Stationery</t>
  </si>
  <si>
    <t>Stationery Wholesale &amp; Manufacturers</t>
  </si>
  <si>
    <t>Stencils &amp; Stencil Supplies</t>
  </si>
  <si>
    <t>Time Recorders &amp; Supplies</t>
  </si>
  <si>
    <t>Typewriters</t>
  </si>
  <si>
    <t>Banks &amp; Credit Unions</t>
  </si>
  <si>
    <t>Bank Equipment &amp; Supplies</t>
  </si>
  <si>
    <t>Banks</t>
  </si>
  <si>
    <t>Banks Commercial</t>
  </si>
  <si>
    <t>Check Verification &amp; Recovery Service</t>
  </si>
  <si>
    <t>Credit Card Merchant Services</t>
  </si>
  <si>
    <t>Credit Unions</t>
  </si>
  <si>
    <t>Currency Exchanges</t>
  </si>
  <si>
    <t>Financial Services</t>
  </si>
  <si>
    <t>Automated Teller Machine (atm)</t>
  </si>
  <si>
    <t>Locksmiths, Safes &amp; Vaults</t>
  </si>
  <si>
    <t>Locks &amp; Locksmiths</t>
  </si>
  <si>
    <t>Locks Wholesale &amp; Manufacturers</t>
  </si>
  <si>
    <t>Locksmith Equipment &amp; Supplies</t>
  </si>
  <si>
    <t>Safe &amp; Vault Opening &amp; Repairing</t>
  </si>
  <si>
    <t>Safes &amp; Vaults</t>
  </si>
  <si>
    <t>Physicians - Plastic &amp; Cosmetic Surgery</t>
  </si>
  <si>
    <t>Physicians &amp; Surgeons Surgery Plastic Reconstructive &amp; Cosmetic</t>
  </si>
  <si>
    <t>Physicians - Obstetrics &amp; Gynecology</t>
  </si>
  <si>
    <t>Physicians &amp; Surgeons Obstetrics &amp; Gynecology</t>
  </si>
  <si>
    <t>Physicians - Orthopedics</t>
  </si>
  <si>
    <t>Physicians &amp; Surgeons Orthopedics</t>
  </si>
  <si>
    <t>Physicians &amp; Surgeons Surgery Hand</t>
  </si>
  <si>
    <t>Lawn Maintenance</t>
  </si>
  <si>
    <t>Clipping Service</t>
  </si>
  <si>
    <t>Lawn Installation &amp; Maintenance</t>
  </si>
  <si>
    <t>Sporting Goods</t>
  </si>
  <si>
    <t>Archery Equipment &amp; Supplies</t>
  </si>
  <si>
    <t>Bicycle Dealers Sales &amp; Service</t>
  </si>
  <si>
    <t>Bicycle Repair</t>
  </si>
  <si>
    <t>Bicycles Wholesale &amp; Manufacturers</t>
  </si>
  <si>
    <t>Binoculars</t>
  </si>
  <si>
    <t>Bowling Equipment &amp; Clothes</t>
  </si>
  <si>
    <t>Camping Equipment</t>
  </si>
  <si>
    <t>Canoes &amp; Kayaks Dealers</t>
  </si>
  <si>
    <t>Diving Equipment &amp; Supplies</t>
  </si>
  <si>
    <t>Exercise Equipment Sales &amp; Service</t>
  </si>
  <si>
    <t>Fishing Bait &amp; Tackle</t>
  </si>
  <si>
    <t>Golf Equipment &amp; Supplies</t>
  </si>
  <si>
    <t>Golf Equipment &amp; Supplies Wholesale &amp; Manufacturers</t>
  </si>
  <si>
    <t>Golf Equipment Repairing</t>
  </si>
  <si>
    <t>Gymnastic Equipment &amp; Supplies</t>
  </si>
  <si>
    <t>Martial Arts Supplies &amp; Equipment</t>
  </si>
  <si>
    <t>Mountain &amp; Rock Climbing Equipment</t>
  </si>
  <si>
    <t>Parasailing</t>
  </si>
  <si>
    <t>Playground Equipment</t>
  </si>
  <si>
    <t>Skateboards &amp; Equipment</t>
  </si>
  <si>
    <t>Skating Equipment &amp; Supplies</t>
  </si>
  <si>
    <t>Ski Equipment</t>
  </si>
  <si>
    <t>Snowboard Equipment Retail &amp; Renting</t>
  </si>
  <si>
    <t>Sporting Goods Repair</t>
  </si>
  <si>
    <t>Sporting Goods Sales &amp; Rental</t>
  </si>
  <si>
    <t>Surfboards Retail</t>
  </si>
  <si>
    <t>Tennis Equipment &amp; Supplies</t>
  </si>
  <si>
    <t>Tents</t>
  </si>
  <si>
    <t>Trampoline Equipment &amp; Supplies</t>
  </si>
  <si>
    <t>Water Coolers</t>
  </si>
  <si>
    <t>Water Skiing Equipment &amp; Supplies</t>
  </si>
  <si>
    <t>Water Sport Goods Sales &amp; Rental</t>
  </si>
  <si>
    <t>Contractors - Electrical</t>
  </si>
  <si>
    <t>Contractors Electric</t>
  </si>
  <si>
    <t>Schools - Public &amp; Academic</t>
  </si>
  <si>
    <t>Learning Disabilities Information Services</t>
  </si>
  <si>
    <t>Nursery Schools &amp; Kindergartens</t>
  </si>
  <si>
    <t>Schools</t>
  </si>
  <si>
    <t>Schools Academic Preschool &amp; Kindergarten</t>
  </si>
  <si>
    <t>Schools Academic Secondary &amp; Elementary</t>
  </si>
  <si>
    <t>Schools Academies Colleges &amp; Universities</t>
  </si>
  <si>
    <t>Schools Adult Education Academic</t>
  </si>
  <si>
    <t>Schools Health &amp; Medicine</t>
  </si>
  <si>
    <t>Schools Nursery &amp; Kindergarten Academic</t>
  </si>
  <si>
    <t>Schools Preschool &amp; Elementary Academic</t>
  </si>
  <si>
    <t>Schools Special Education Academic</t>
  </si>
  <si>
    <t>Student Exchange Programs</t>
  </si>
  <si>
    <t>Physicians - Psychiatry</t>
  </si>
  <si>
    <t>Physicians &amp; Surgeons Psychiatry</t>
  </si>
  <si>
    <t>Schools - Colleges &amp; Universities</t>
  </si>
  <si>
    <t>Beauty Salons &amp; Day Spas</t>
  </si>
  <si>
    <t>Manicuring &amp; Pedicuring</t>
  </si>
  <si>
    <t>Religious Services &amp; Organizations</t>
  </si>
  <si>
    <t>Churches</t>
  </si>
  <si>
    <t>Churches African Methodist Episcopal Ame</t>
  </si>
  <si>
    <t>Churches Anglican</t>
  </si>
  <si>
    <t>Churches Apostolic</t>
  </si>
  <si>
    <t>Churches Assembly Of God</t>
  </si>
  <si>
    <t>Churches Baptist</t>
  </si>
  <si>
    <t>Churches Baptist Southern</t>
  </si>
  <si>
    <t>Churches Bible</t>
  </si>
  <si>
    <t>Churches Brethren</t>
  </si>
  <si>
    <t>Churches Buddhist</t>
  </si>
  <si>
    <t>Churches Catholic</t>
  </si>
  <si>
    <t>Churches Charismatic</t>
  </si>
  <si>
    <t>Churches Christian</t>
  </si>
  <si>
    <t>Churches Christian Reformed</t>
  </si>
  <si>
    <t>Churches Christian Science</t>
  </si>
  <si>
    <t>Churches Church Of Christ</t>
  </si>
  <si>
    <t>Churches Church Of God</t>
  </si>
  <si>
    <t>Churches Church Of Jesus Christ Of Latter Day Saints</t>
  </si>
  <si>
    <t>Churches Church Of The Nazarene</t>
  </si>
  <si>
    <t>Churches Community</t>
  </si>
  <si>
    <t>Churches Congregational</t>
  </si>
  <si>
    <t>Churches Eastern Orthodox</t>
  </si>
  <si>
    <t>Churches Episcopal</t>
  </si>
  <si>
    <t>Churches Evangelical</t>
  </si>
  <si>
    <t>Churches Foursquare Gospel</t>
  </si>
  <si>
    <t>Churches Full Gospel</t>
  </si>
  <si>
    <t>Churches Greek Orthodox</t>
  </si>
  <si>
    <t>Churches Holiness</t>
  </si>
  <si>
    <t>Churches Independent</t>
  </si>
  <si>
    <t>Churches Independent Fundamental</t>
  </si>
  <si>
    <t>Churches Interdenominational</t>
  </si>
  <si>
    <t>Churches Islam</t>
  </si>
  <si>
    <t>Churches Jehovahs Witness</t>
  </si>
  <si>
    <t>Churches Lutheran</t>
  </si>
  <si>
    <t>Churches Mennonite</t>
  </si>
  <si>
    <t>Churches Methodist</t>
  </si>
  <si>
    <t>Churches Nazarene</t>
  </si>
  <si>
    <t>Churches Nondenominational</t>
  </si>
  <si>
    <t>Churches Pentecostal</t>
  </si>
  <si>
    <t>Churches Presbyterian</t>
  </si>
  <si>
    <t>Churches Quaker</t>
  </si>
  <si>
    <t>Churches Reformed Church</t>
  </si>
  <si>
    <t>Churches Roman Catholic</t>
  </si>
  <si>
    <t>Churches Salvation Army</t>
  </si>
  <si>
    <t>Churches Seventh Day Adventist</t>
  </si>
  <si>
    <t>Churches Unitarian Universalist</t>
  </si>
  <si>
    <t>Churches United Church Of Christ</t>
  </si>
  <si>
    <t>Churches Various Denominations</t>
  </si>
  <si>
    <t>Churches Wesleyan</t>
  </si>
  <si>
    <t>Clergy</t>
  </si>
  <si>
    <t>Convents &amp; Monasteries</t>
  </si>
  <si>
    <t>Missions</t>
  </si>
  <si>
    <t>Mosques</t>
  </si>
  <si>
    <t>Religious Organizations</t>
  </si>
  <si>
    <t>Synagogues</t>
  </si>
  <si>
    <t>Physicians - Nephrology &amp; Urology</t>
  </si>
  <si>
    <t>Physicians &amp; Surgeons Nephrology</t>
  </si>
  <si>
    <t>Physicians &amp; Surgeons Urology</t>
  </si>
  <si>
    <t>Tree Service</t>
  </si>
  <si>
    <t>Bookstores</t>
  </si>
  <si>
    <t>Bibles</t>
  </si>
  <si>
    <t>Book Dealers &amp; Bookstores Retail</t>
  </si>
  <si>
    <t>Book Dealers Used &amp; Rare</t>
  </si>
  <si>
    <t>Books Wholesale</t>
  </si>
  <si>
    <t>Comic Book Dealers</t>
  </si>
  <si>
    <t>Magazine Dealers</t>
  </si>
  <si>
    <t>Magazine Distributors</t>
  </si>
  <si>
    <t>Bicycle Sales &amp; Service</t>
  </si>
  <si>
    <t>Pest &amp; Animal Control</t>
  </si>
  <si>
    <t>Animal Removal Service</t>
  </si>
  <si>
    <t>Bee &amp; Wasp Removal</t>
  </si>
  <si>
    <t>Pest Control Equipment &amp; Supplies</t>
  </si>
  <si>
    <t>Pest Control Services</t>
  </si>
  <si>
    <t>Termite Control</t>
  </si>
  <si>
    <t>Hair Salons &amp; Barbers</t>
  </si>
  <si>
    <t>Barber</t>
  </si>
  <si>
    <t>Beauty Salons</t>
  </si>
  <si>
    <t>Beauty Skin Care</t>
  </si>
  <si>
    <t>Facial &amp; Skin Care Spas &amp; Salons</t>
  </si>
  <si>
    <t>Hair Stylists</t>
  </si>
  <si>
    <t>Hair Weaving</t>
  </si>
  <si>
    <t>Make Up &amp; Beauty Consultants</t>
  </si>
  <si>
    <t>Concert Halls &amp; Theaters</t>
  </si>
  <si>
    <t>Halls &amp; Auditoriums</t>
  </si>
  <si>
    <t>Theaters Concert Halls &amp; Venues</t>
  </si>
  <si>
    <t>Theatres</t>
  </si>
  <si>
    <t>Movie Theaters</t>
  </si>
  <si>
    <t>Theaters Movie</t>
  </si>
  <si>
    <t>Real Estate - Brokers &amp; Agents</t>
  </si>
  <si>
    <t>Condominiums</t>
  </si>
  <si>
    <t>Escrow Service</t>
  </si>
  <si>
    <t>Estate Planning &amp; Management</t>
  </si>
  <si>
    <t>Office Buildings</t>
  </si>
  <si>
    <t>Property Management &amp; Maintenance</t>
  </si>
  <si>
    <t>Real Estate</t>
  </si>
  <si>
    <t>Real Estate Consultants</t>
  </si>
  <si>
    <t>Real Estate Rental Service</t>
  </si>
  <si>
    <t>Real Estate - Investments</t>
  </si>
  <si>
    <t>Real Estate Investment Trusts</t>
  </si>
  <si>
    <t>Automobile - Repairs &amp; Services</t>
  </si>
  <si>
    <t>Alternators &amp; Generators Automotive Repairing</t>
  </si>
  <si>
    <t>Automobile Air Conditioning Service &amp; Repair</t>
  </si>
  <si>
    <t>Automobile Alignment Service</t>
  </si>
  <si>
    <t>Automobile Customizing</t>
  </si>
  <si>
    <t>Automobile Diagnostic Services</t>
  </si>
  <si>
    <t>Automobile Electrical Services</t>
  </si>
  <si>
    <t>Automobile Oil &amp; Lubrication Services</t>
  </si>
  <si>
    <t>Automobile Restoration Antique &amp; Classic</t>
  </si>
  <si>
    <t>Automobile Smog Brake &amp; Lamp Inspection &amp; Repair</t>
  </si>
  <si>
    <t>Automobile Tags &amp; Titles</t>
  </si>
  <si>
    <t>Automobile Towing</t>
  </si>
  <si>
    <t>Automobile Tune Up Service</t>
  </si>
  <si>
    <t>Automobile Upholstery Cleaning</t>
  </si>
  <si>
    <t>Automobile Window Service &amp; Repair</t>
  </si>
  <si>
    <t>Automotive Inspection Station &amp; Service</t>
  </si>
  <si>
    <t>Automotive Machine &amp; Shop Service</t>
  </si>
  <si>
    <t>Brake Service &amp; Repair</t>
  </si>
  <si>
    <t>Brake Shops</t>
  </si>
  <si>
    <t>Bus Repair Service &amp; Parts</t>
  </si>
  <si>
    <t>Camper Service &amp; Repair</t>
  </si>
  <si>
    <t>Carburetor Service</t>
  </si>
  <si>
    <t>Clutches</t>
  </si>
  <si>
    <t>Drive Shafts Retail</t>
  </si>
  <si>
    <t>Emission Inspections</t>
  </si>
  <si>
    <t>Engines Rebuilding Repairing &amp; Exchanging</t>
  </si>
  <si>
    <t>Fuel Injection Equipment Sales &amp; Service</t>
  </si>
  <si>
    <t>Motorcycle &amp; Motor Scooter Painting &amp; Customizing</t>
  </si>
  <si>
    <t>Radiators Automotive Rebuilding &amp; Repairing</t>
  </si>
  <si>
    <t>Railroad Equipment Repairing</t>
  </si>
  <si>
    <t>Road Services Automotive</t>
  </si>
  <si>
    <t>Rustproofing &amp; Undercoating Automotive</t>
  </si>
  <si>
    <t>Small Engine Repair</t>
  </si>
  <si>
    <t>Transmissions Automobile Retail</t>
  </si>
  <si>
    <t>Truck Body Shops</t>
  </si>
  <si>
    <t>Truck Painting &amp; Lettering</t>
  </si>
  <si>
    <t>Truck Repair &amp; Service</t>
  </si>
  <si>
    <t>Truck Towing</t>
  </si>
  <si>
    <t>Wheel Alignment Frame &amp; Axle Service</t>
  </si>
  <si>
    <t>Catering &amp; Bartending Services</t>
  </si>
  <si>
    <t>Bartending Service</t>
  </si>
  <si>
    <t>Caterers</t>
  </si>
  <si>
    <t>Physicians - General</t>
  </si>
  <si>
    <t>Clinics Dialysis</t>
  </si>
  <si>
    <t>Clinics Psychiatric</t>
  </si>
  <si>
    <t>Health Agencies</t>
  </si>
  <si>
    <t>Health Information</t>
  </si>
  <si>
    <t>Laser Vision Correction</t>
  </si>
  <si>
    <t>Physicians &amp; Surgeons</t>
  </si>
  <si>
    <t>Physicians &amp; Surgeons Abdominal Medicine</t>
  </si>
  <si>
    <t>Physicians &amp; Surgeons Family &amp; General Practice</t>
  </si>
  <si>
    <t>Physicians &amp; Surgeons Genetic Medicine</t>
  </si>
  <si>
    <t>Physicians &amp; Surgeons Geriatrics</t>
  </si>
  <si>
    <t>Physicians &amp; Surgeons Homeopathic Md Mdh &amp; Doh</t>
  </si>
  <si>
    <t>Physicians &amp; Surgeons Internal Medicine</t>
  </si>
  <si>
    <t>Physicians &amp; Surgeons Laser Surgery</t>
  </si>
  <si>
    <t>Physicians &amp; Surgeons Neonatal Perinatal Medicine</t>
  </si>
  <si>
    <t>Physicians &amp; Surgeons Ophthalmology</t>
  </si>
  <si>
    <t>Physicians &amp; Surgeons Sclerotherapy</t>
  </si>
  <si>
    <t>Physicians &amp; Surgeons Sleep Disorder Medicine</t>
  </si>
  <si>
    <t>Physicians &amp; Surgeons Spinal Medicine</t>
  </si>
  <si>
    <t>Physicians &amp; Surgeons Surgery General</t>
  </si>
  <si>
    <t>Physicians Assistants</t>
  </si>
  <si>
    <t>Physicians Naturopathic Nmd</t>
  </si>
  <si>
    <t>Psychoanalysts</t>
  </si>
  <si>
    <t>Moving Services</t>
  </si>
  <si>
    <t>House &amp; Building Movers</t>
  </si>
  <si>
    <t>Movers &amp; Storage</t>
  </si>
  <si>
    <t>Moving Equipment Rental</t>
  </si>
  <si>
    <t>Moving Supplies</t>
  </si>
  <si>
    <t>Pianos &amp; Organs Moving</t>
  </si>
  <si>
    <t>Relocation Services</t>
  </si>
  <si>
    <t>Welcome Service</t>
  </si>
  <si>
    <t>Hair &amp; Beauty Supplies, Service &amp; Equipment</t>
  </si>
  <si>
    <t>Barbers Equipment &amp; Supplies</t>
  </si>
  <si>
    <t>Beauty Salon Equipment &amp; Supplies Wholesale &amp; Manufacturers</t>
  </si>
  <si>
    <t>Beauty Supplies &amp; Equipment</t>
  </si>
  <si>
    <t>Cosmetics &amp; Perfumes Retail</t>
  </si>
  <si>
    <t>Cosmetics Permanent Application</t>
  </si>
  <si>
    <t>Cosmetics Wholesale &amp; Manufacturers</t>
  </si>
  <si>
    <t>Electrolysis</t>
  </si>
  <si>
    <t>Hair Goods</t>
  </si>
  <si>
    <t>Hair Removal</t>
  </si>
  <si>
    <t>Image Consultants</t>
  </si>
  <si>
    <t>Tattoos Removed</t>
  </si>
  <si>
    <t>Wigs &amp; Hair Pieces</t>
  </si>
  <si>
    <t>Dry Cleaners</t>
  </si>
  <si>
    <t>Cleaners</t>
  </si>
  <si>
    <t>Cleaners Self Service</t>
  </si>
  <si>
    <t>Employment Agencies</t>
  </si>
  <si>
    <t>Career &amp; Vocational Counseling</t>
  </si>
  <si>
    <t>Employment Contractors Temporary Help Services</t>
  </si>
  <si>
    <t>Employment Placement Services</t>
  </si>
  <si>
    <t>Employment Screening Services</t>
  </si>
  <si>
    <t>Employment Service Employee Leasing</t>
  </si>
  <si>
    <t>Employment Training Service</t>
  </si>
  <si>
    <t>Human Resource Services</t>
  </si>
  <si>
    <t>Personnel Consultants</t>
  </si>
  <si>
    <t>Contractors - Painting</t>
  </si>
  <si>
    <t>Ceiling Contractors</t>
  </si>
  <si>
    <t>Painting Contractors</t>
  </si>
  <si>
    <t>Painting Contractors Decorative &amp; Faux Finishes</t>
  </si>
  <si>
    <t>Wallpaper &amp; Wallcoverings Contractors</t>
  </si>
  <si>
    <t>Groceries</t>
  </si>
  <si>
    <t>Bagels</t>
  </si>
  <si>
    <t>Beverages Retail</t>
  </si>
  <si>
    <t>Butchering</t>
  </si>
  <si>
    <t>Candy &amp; Confectionery Retail</t>
  </si>
  <si>
    <t>Cheese Retail</t>
  </si>
  <si>
    <t>Chinese Food Products</t>
  </si>
  <si>
    <t>Chocolate &amp; Cocoa</t>
  </si>
  <si>
    <t>Coffee &amp; Tea Retail</t>
  </si>
  <si>
    <t>Coffee &amp; Tea Wholesale</t>
  </si>
  <si>
    <t>Cookies &amp; Crackers</t>
  </si>
  <si>
    <t>Dairy Products Retail</t>
  </si>
  <si>
    <t>Delicatessens Retail</t>
  </si>
  <si>
    <t>Eggs Retail</t>
  </si>
  <si>
    <t>Ethnic Products &amp; Services</t>
  </si>
  <si>
    <t>Firewood</t>
  </si>
  <si>
    <t>Fish &amp; Seafood Retail</t>
  </si>
  <si>
    <t>Flavoring Extracts</t>
  </si>
  <si>
    <t>Grocers</t>
  </si>
  <si>
    <t>Grocers Wholesale</t>
  </si>
  <si>
    <t>Herbs</t>
  </si>
  <si>
    <t>Ice Cream &amp; Frozen Desserts Dealers</t>
  </si>
  <si>
    <t>Juices</t>
  </si>
  <si>
    <t>Kosher Food Products</t>
  </si>
  <si>
    <t>Markets</t>
  </si>
  <si>
    <t>Meat Markets</t>
  </si>
  <si>
    <t>Meat Wholesale</t>
  </si>
  <si>
    <t>Mexican &amp; Latin American Food Products</t>
  </si>
  <si>
    <t>Mexican Food Retail</t>
  </si>
  <si>
    <t>Nuts Edible Retail</t>
  </si>
  <si>
    <t>Nuts Edible Wholesale</t>
  </si>
  <si>
    <t>Popcorn &amp; Popcorn Supplies</t>
  </si>
  <si>
    <t>Poultry Retail</t>
  </si>
  <si>
    <t>Pretzels Retail</t>
  </si>
  <si>
    <t>Produce Retail</t>
  </si>
  <si>
    <t>Salt Retail</t>
  </si>
  <si>
    <t>Sandwiches</t>
  </si>
  <si>
    <t>Spices</t>
  </si>
  <si>
    <t>Supermarkets &amp; Super Stores</t>
  </si>
  <si>
    <t>Vitamins &amp; Food Supplements</t>
  </si>
  <si>
    <t>Water Companies Bottled Bulk Etc</t>
  </si>
  <si>
    <t>Contractors - Roofing</t>
  </si>
  <si>
    <t>Roofing Contractors</t>
  </si>
  <si>
    <t>Chiropractors</t>
  </si>
  <si>
    <t>Antiques</t>
  </si>
  <si>
    <t>Antique Dealers</t>
  </si>
  <si>
    <t>Antique Restoration &amp; Preservation</t>
  </si>
  <si>
    <t>Jewelry</t>
  </si>
  <si>
    <t>Clock Dealers</t>
  </si>
  <si>
    <t>Diamonds</t>
  </si>
  <si>
    <t>Gold Silver &amp; Platinum Buyers &amp; Dealers</t>
  </si>
  <si>
    <t>Jewelers Appraisers</t>
  </si>
  <si>
    <t>Jewelers Brokers &amp; Buyers</t>
  </si>
  <si>
    <t>Jewelers Buyers</t>
  </si>
  <si>
    <t>Jewelers Supplies &amp; Findings</t>
  </si>
  <si>
    <t>Jewelry Design</t>
  </si>
  <si>
    <t>Jewelry Manufacturers</t>
  </si>
  <si>
    <t>Jewelry Repair</t>
  </si>
  <si>
    <t>Lapidary Equipment &amp; Supplies</t>
  </si>
  <si>
    <t>Silverware</t>
  </si>
  <si>
    <t>Watches</t>
  </si>
  <si>
    <t>Watches Service &amp; Repair</t>
  </si>
  <si>
    <t>Photographers</t>
  </si>
  <si>
    <t>Miscellaneous Art Film &amp; Photography</t>
  </si>
  <si>
    <t>Photographers Aerial</t>
  </si>
  <si>
    <t>Photographers Commercial</t>
  </si>
  <si>
    <t>Photographers Passport Photos</t>
  </si>
  <si>
    <t>Photographers Portrait</t>
  </si>
  <si>
    <t>Law - Business &amp; Corporate</t>
  </si>
  <si>
    <t>Attorneys Business Corporation &amp; Partnership Law</t>
  </si>
  <si>
    <t>Law - Criminal</t>
  </si>
  <si>
    <t>Attorneys Criminal Law</t>
  </si>
  <si>
    <t>Attorneys Trial Practice Law</t>
  </si>
  <si>
    <t>Attorneys Wrongful Death Law</t>
  </si>
  <si>
    <t>Law - Divorce &amp; Family</t>
  </si>
  <si>
    <t>Attorneys Adoption Law</t>
  </si>
  <si>
    <t>Attorneys Marriage &amp; Family Law</t>
  </si>
  <si>
    <t>Law - Driving &amp; Traffic</t>
  </si>
  <si>
    <t>Attorneys Traffic &amp; Vehicle Law</t>
  </si>
  <si>
    <t>Law - Malpractice</t>
  </si>
  <si>
    <t>Attorneys Malpractice Law</t>
  </si>
  <si>
    <t>Law - Patent, Trademark &amp; Copyright</t>
  </si>
  <si>
    <t>Attorneys Patent Law</t>
  </si>
  <si>
    <t>Attorneys Trademark &amp; Copyright Law</t>
  </si>
  <si>
    <t>Patent Agents</t>
  </si>
  <si>
    <t>Law - Personal Injury &amp; Property Damage</t>
  </si>
  <si>
    <t>Attorneys Accident Personal Injury &amp; Property Damage Law</t>
  </si>
  <si>
    <t>Law - Real Estate</t>
  </si>
  <si>
    <t>Attorneys Real Estate Law</t>
  </si>
  <si>
    <t>Eviction Service</t>
  </si>
  <si>
    <t>Law - Wills &amp; Estate Planning</t>
  </si>
  <si>
    <t>Attorneys Probate Law</t>
  </si>
  <si>
    <t>Attorneys Wills Trusts &amp; Estate Planning Law</t>
  </si>
  <si>
    <t>Trust Service</t>
  </si>
  <si>
    <t>Law - Governmental Issues</t>
  </si>
  <si>
    <t>Attorneys Administrative &amp; Government Law</t>
  </si>
  <si>
    <t>Attorneys Admiralty &amp; Maritime Law</t>
  </si>
  <si>
    <t>Attorneys Environmental Law</t>
  </si>
  <si>
    <t>Attorneys Immigration &amp; Naturalization Law</t>
  </si>
  <si>
    <t>Attorneys Social Security &amp; Disability Claims Law</t>
  </si>
  <si>
    <t>Attorneys Tax Law</t>
  </si>
  <si>
    <t>Law - Financial &amp; Bankruptcy</t>
  </si>
  <si>
    <t>Attorneys Bankruptcy Law</t>
  </si>
  <si>
    <t>Attorneys Collections Law</t>
  </si>
  <si>
    <t>Attorneys Insurance Law</t>
  </si>
  <si>
    <t>Attorneys Securities Law</t>
  </si>
  <si>
    <t>Law - Labor &amp; Employment</t>
  </si>
  <si>
    <t>Attorneys Employment &amp; Labor Law</t>
  </si>
  <si>
    <t>Law - Juvenile</t>
  </si>
  <si>
    <t>Attorneys Juvenile Law</t>
  </si>
  <si>
    <t>Homes Boys</t>
  </si>
  <si>
    <t>Bakeries</t>
  </si>
  <si>
    <t>Bakers</t>
  </si>
  <si>
    <t>Bakers Wholesale</t>
  </si>
  <si>
    <t>Gift Shops</t>
  </si>
  <si>
    <t>Balloons Novelty &amp; Toy Retail</t>
  </si>
  <si>
    <t>Balloons Novelty &amp; Toy Wholesale &amp; Manufacturers</t>
  </si>
  <si>
    <t>Decals</t>
  </si>
  <si>
    <t>Gift Baskets &amp; Parcels</t>
  </si>
  <si>
    <t>Giftwares Wholesale &amp; Manufacturers</t>
  </si>
  <si>
    <t>Greeting Cards Retail</t>
  </si>
  <si>
    <t>Indian Goods Retail</t>
  </si>
  <si>
    <t>Magicians Supplies</t>
  </si>
  <si>
    <t>Metaphysical Products &amp; Services</t>
  </si>
  <si>
    <t>Native American Goods</t>
  </si>
  <si>
    <t>Novelties</t>
  </si>
  <si>
    <t>Novelties Wholesale &amp; Manufacturers</t>
  </si>
  <si>
    <t>Oriental Goods Retail</t>
  </si>
  <si>
    <t>Posters</t>
  </si>
  <si>
    <t>Souvenirs</t>
  </si>
  <si>
    <t>Sports Cards &amp; Memorabilia</t>
  </si>
  <si>
    <t>Nursing Homes</t>
  </si>
  <si>
    <t>Bowling</t>
  </si>
  <si>
    <t>Wireless Communications</t>
  </si>
  <si>
    <t>Massage</t>
  </si>
  <si>
    <t>Massage Therapists</t>
  </si>
  <si>
    <t>Massage Therapists Licensed</t>
  </si>
  <si>
    <t>Photographic Equipment</t>
  </si>
  <si>
    <t>Photographic Equipment &amp; Supplies</t>
  </si>
  <si>
    <t>Photographic Equipment &amp; Supplies Wholesale &amp; Manufacturers</t>
  </si>
  <si>
    <t>Photographic Equipment Repair</t>
  </si>
  <si>
    <t>Tax Preparation</t>
  </si>
  <si>
    <t>Tax Return Preparation &amp; Filing</t>
  </si>
  <si>
    <t>Electronics - Computers</t>
  </si>
  <si>
    <t>Computer &amp; Computer Equipment Dealers</t>
  </si>
  <si>
    <t>Computer &amp; Computer Equipment Dealers Used</t>
  </si>
  <si>
    <t>Computer &amp; Computer Equipment Service &amp; Repair</t>
  </si>
  <si>
    <t>Computer Rental &amp; Lease</t>
  </si>
  <si>
    <t>Computer Service &amp; Repair</t>
  </si>
  <si>
    <t>Computer Software &amp; Services</t>
  </si>
  <si>
    <t>Data Communications Equipment &amp; Systems</t>
  </si>
  <si>
    <t>Information Processing &amp; Retrieval Equipment &amp; Systems</t>
  </si>
  <si>
    <t>Internet Software &amp; Services</t>
  </si>
  <si>
    <t>Optical Disk &amp; Imaging Equipment</t>
  </si>
  <si>
    <t>Adoption Services</t>
  </si>
  <si>
    <t>Airlines &amp; Airports</t>
  </si>
  <si>
    <t>Airline Companies</t>
  </si>
  <si>
    <t>Airports Flying Fields &amp; Services</t>
  </si>
  <si>
    <t>Adult Entertainment</t>
  </si>
  <si>
    <t>Entertainment Adult</t>
  </si>
  <si>
    <t>Architects</t>
  </si>
  <si>
    <t>Architects &amp; Builders Service</t>
  </si>
  <si>
    <t>Building Designers Residential</t>
  </si>
  <si>
    <t>Designers Industrial</t>
  </si>
  <si>
    <t>Drafting Room Equipment &amp; Supplies</t>
  </si>
  <si>
    <t>Drafting Services</t>
  </si>
  <si>
    <t>Golf Course Architects</t>
  </si>
  <si>
    <t>Shoes &amp; Shoe Repairs</t>
  </si>
  <si>
    <t>Boots</t>
  </si>
  <si>
    <t>Shoes</t>
  </si>
  <si>
    <t>Shoes Custom Made</t>
  </si>
  <si>
    <t>Shoes Orthopedic Dealers</t>
  </si>
  <si>
    <t>Shoes Repairing</t>
  </si>
  <si>
    <t>Shoes Wholesale &amp; Manufacturers</t>
  </si>
  <si>
    <t>Artists &amp; Art Dealers</t>
  </si>
  <si>
    <t>Art Galleries Dealers &amp; Consultants</t>
  </si>
  <si>
    <t>Art Restoration &amp; Conservation</t>
  </si>
  <si>
    <t>Artists Commercial</t>
  </si>
  <si>
    <t>Artists Fine Art</t>
  </si>
  <si>
    <t>Goldsmiths &amp; Silversmiths</t>
  </si>
  <si>
    <t>Murals</t>
  </si>
  <si>
    <t>Sculptors</t>
  </si>
  <si>
    <t>Pawn Shops &amp; Discount Stores</t>
  </si>
  <si>
    <t>Appliances Used</t>
  </si>
  <si>
    <t>Building Materials Used</t>
  </si>
  <si>
    <t>Clothing Consignment &amp; Resale</t>
  </si>
  <si>
    <t>Clothing Vintage</t>
  </si>
  <si>
    <t>Consignment Shops &amp; Services</t>
  </si>
  <si>
    <t>Discount Stores</t>
  </si>
  <si>
    <t>Estate Sales</t>
  </si>
  <si>
    <t>Flea Markets</t>
  </si>
  <si>
    <t>Military Surplus</t>
  </si>
  <si>
    <t>Office Furniture &amp; Equipment Used</t>
  </si>
  <si>
    <t>Outlet Stores</t>
  </si>
  <si>
    <t>Pawnbrokers</t>
  </si>
  <si>
    <t>Surplus &amp; Salvage Merchandise</t>
  </si>
  <si>
    <t>Thrift Stores</t>
  </si>
  <si>
    <t>Dancing Instruction</t>
  </si>
  <si>
    <t>Dance Companies</t>
  </si>
  <si>
    <t>Dance Instruction</t>
  </si>
  <si>
    <t>Bail Bonds</t>
  </si>
  <si>
    <t>Newspapers</t>
  </si>
  <si>
    <t>News Dealers</t>
  </si>
  <si>
    <t>News Service</t>
  </si>
  <si>
    <t>Welding</t>
  </si>
  <si>
    <t>Iron Work</t>
  </si>
  <si>
    <t>Welding Equipment &amp; Supplies</t>
  </si>
  <si>
    <t>Welding Equipment Renting</t>
  </si>
  <si>
    <t>Welding Equipment Repair</t>
  </si>
  <si>
    <t>Welding Household &amp; Miscellaneous Items Repair</t>
  </si>
  <si>
    <t>Advertising</t>
  </si>
  <si>
    <t>Advertising Aerial</t>
  </si>
  <si>
    <t>Advertising Agencies</t>
  </si>
  <si>
    <t>Advertising Direct Mail</t>
  </si>
  <si>
    <t>Advertising Directory &amp; Guide</t>
  </si>
  <si>
    <t>Advertising Electronic &amp; Fax</t>
  </si>
  <si>
    <t>Advertising Newspaper</t>
  </si>
  <si>
    <t>Advertising Outdoor</t>
  </si>
  <si>
    <t>Advertising Promotional Products &amp; Services</t>
  </si>
  <si>
    <t>Advertising Radio</t>
  </si>
  <si>
    <t>Advertising Specialties</t>
  </si>
  <si>
    <t>Advertising Television</t>
  </si>
  <si>
    <t>Buttons Advertising Retail</t>
  </si>
  <si>
    <t>Commercials Radio &amp; Television</t>
  </si>
  <si>
    <t>Coupons</t>
  </si>
  <si>
    <t>Display Designers &amp; Producers</t>
  </si>
  <si>
    <t>Distribution Services</t>
  </si>
  <si>
    <t>Internet Advertising</t>
  </si>
  <si>
    <t>Mailing Lists</t>
  </si>
  <si>
    <t>Market Research &amp; Analysis</t>
  </si>
  <si>
    <t>Marketing Consultants</t>
  </si>
  <si>
    <t>Merchandising Services</t>
  </si>
  <si>
    <t>Monogramming</t>
  </si>
  <si>
    <t>Product Development &amp; Marketing</t>
  </si>
  <si>
    <t>Promotional Products</t>
  </si>
  <si>
    <t>Public Relations Counselors</t>
  </si>
  <si>
    <t>Publicity Services</t>
  </si>
  <si>
    <t>Sales Promotion Service</t>
  </si>
  <si>
    <t>Telemarketing Services</t>
  </si>
  <si>
    <t>Contractors - Sewer</t>
  </si>
  <si>
    <t>Contractors Drainage</t>
  </si>
  <si>
    <t>Plumbing Drain &amp; Waste Line Cleaning</t>
  </si>
  <si>
    <t>Sewer &amp; Drain Cleaning Service &amp; Repair</t>
  </si>
  <si>
    <t>Sewer Contractors</t>
  </si>
  <si>
    <t>Security Guards &amp; Patrols</t>
  </si>
  <si>
    <t>Fire &amp; Water - Damage &amp; Restoration</t>
  </si>
  <si>
    <t>Fire &amp; Water Damage Restoration</t>
  </si>
  <si>
    <t>Sports Clubs</t>
  </si>
  <si>
    <t>Baseball &amp; Softball Instruction</t>
  </si>
  <si>
    <t>Baseball Clubs &amp; Parks</t>
  </si>
  <si>
    <t>Basketball Clubs &amp; Instruction</t>
  </si>
  <si>
    <t>Clubs</t>
  </si>
  <si>
    <t>Community Organizations</t>
  </si>
  <si>
    <t>Educational Associations &amp; Organizations</t>
  </si>
  <si>
    <t>Football Clubs</t>
  </si>
  <si>
    <t>Golf Clubs &amp; Courses Private</t>
  </si>
  <si>
    <t>Golf Courses Semi Private</t>
  </si>
  <si>
    <t>Hockey Clubs</t>
  </si>
  <si>
    <t>Instruction Sports &amp; Recreation</t>
  </si>
  <si>
    <t>Racquetball Courts</t>
  </si>
  <si>
    <t>Soccer Clubs &amp; Instruction</t>
  </si>
  <si>
    <t>Sports Clubs &amp; Organizations</t>
  </si>
  <si>
    <t>Sports Promoters Managers &amp; Recruiters</t>
  </si>
  <si>
    <t>Stadiums Arenas &amp; Athletic Fields</t>
  </si>
  <si>
    <t>Swimming Pools Private</t>
  </si>
  <si>
    <t>Tennis Court Private</t>
  </si>
  <si>
    <t>Womens Organizations</t>
  </si>
  <si>
    <t>Youth Organizations</t>
  </si>
  <si>
    <t>Water Heaters</t>
  </si>
  <si>
    <t>Water Heater Repair</t>
  </si>
  <si>
    <t>Water Heaters Wholesale &amp; Manufacturers</t>
  </si>
  <si>
    <t>Propane</t>
  </si>
  <si>
    <t>Gas Propane</t>
  </si>
  <si>
    <t>Recycling Centers</t>
  </si>
  <si>
    <t>Recycling Services</t>
  </si>
  <si>
    <t>Scrap Metals Processing &amp; Recycling</t>
  </si>
  <si>
    <t>Shredding Paper</t>
  </si>
  <si>
    <t>Waste Reduction Disposal &amp; Recycling Service Industrial</t>
  </si>
  <si>
    <t>Garbage &amp; Rubbish Collection</t>
  </si>
  <si>
    <t>Waste Containers</t>
  </si>
  <si>
    <t>Waste Disposal Equipment &amp; Supplies</t>
  </si>
  <si>
    <t>Water Conservation Consultants</t>
  </si>
  <si>
    <t>Water Pollution Control Equipment</t>
  </si>
  <si>
    <t>Appraisers</t>
  </si>
  <si>
    <t>Automobile Appraisers</t>
  </si>
  <si>
    <t>Costume Shops</t>
  </si>
  <si>
    <t>Costumes Masquerade &amp; Theatrical</t>
  </si>
  <si>
    <t>Health &amp; Diet Food Products</t>
  </si>
  <si>
    <t>Health &amp; Diet Food Products Wholesale &amp; Manufacturers</t>
  </si>
  <si>
    <t>Music Stores</t>
  </si>
  <si>
    <t>Compact Discs Cassette Tapes &amp; Records</t>
  </si>
  <si>
    <t>Compact Discs Cassette Tapes &amp; Records Wholesale &amp; Manufacturers</t>
  </si>
  <si>
    <t>Musical Instruments Used</t>
  </si>
  <si>
    <t>Records Used &amp; Vintage</t>
  </si>
  <si>
    <t>Arts &amp; Crafts Supplies</t>
  </si>
  <si>
    <t>Art Goods</t>
  </si>
  <si>
    <t>Beads</t>
  </si>
  <si>
    <t>Ceramic Equipment &amp; Supplies</t>
  </si>
  <si>
    <t>Craft Galleries &amp; Dealers</t>
  </si>
  <si>
    <t>Lasers</t>
  </si>
  <si>
    <t>Scrapbook Materials &amp; Supplies</t>
  </si>
  <si>
    <t>Musical Instruments</t>
  </si>
  <si>
    <t>Karaoke</t>
  </si>
  <si>
    <t>Music Instruction Instrumental</t>
  </si>
  <si>
    <t>Music Instruction Vocal</t>
  </si>
  <si>
    <t>Music Sheet</t>
  </si>
  <si>
    <t>Musical Instrument Dealers</t>
  </si>
  <si>
    <t>Musical Instrument Rentals</t>
  </si>
  <si>
    <t>Musical Instrument Repair</t>
  </si>
  <si>
    <t>Musical Instruments Wholesale &amp; Manufacturers</t>
  </si>
  <si>
    <t>Organs</t>
  </si>
  <si>
    <t>Piano Dealers</t>
  </si>
  <si>
    <t>Piano Tuning Repairing &amp; Refinishing</t>
  </si>
  <si>
    <t>Schools Theatrical</t>
  </si>
  <si>
    <t>Graphic Design</t>
  </si>
  <si>
    <t>Computer Graphics</t>
  </si>
  <si>
    <t>Computer Multimedia &amp; Internet Publishing</t>
  </si>
  <si>
    <t>Graphic Services</t>
  </si>
  <si>
    <t>Imaging Services</t>
  </si>
  <si>
    <t>Package Designing &amp; Development</t>
  </si>
  <si>
    <t>Psychics &amp; Astrologers</t>
  </si>
  <si>
    <t>Psychics &amp; Mediums</t>
  </si>
  <si>
    <t>Check Cashing &amp; Money Transfers</t>
  </si>
  <si>
    <t>Check Cashing Service</t>
  </si>
  <si>
    <t>Money Order Transfer Service</t>
  </si>
  <si>
    <t>Contractors - Computer</t>
  </si>
  <si>
    <t>Cad Systems &amp; Services</t>
  </si>
  <si>
    <t>Computer Data Recovery</t>
  </si>
  <si>
    <t>Computer Document Management</t>
  </si>
  <si>
    <t>Computer Networks</t>
  </si>
  <si>
    <t>Computer Room Installation Services &amp; Equipment</t>
  </si>
  <si>
    <t>Computer Software Publishers &amp; Developers</t>
  </si>
  <si>
    <t>Computer System Designers &amp; Consultants</t>
  </si>
  <si>
    <t>Computer Technical Assistance &amp; Support Services</t>
  </si>
  <si>
    <t>Data Processing Service</t>
  </si>
  <si>
    <t>Data Systems Consultants &amp; Designers</t>
  </si>
  <si>
    <t>Information Retrieval Service &amp; Research</t>
  </si>
  <si>
    <t>Internet Web Site Design &amp; Development</t>
  </si>
  <si>
    <t>Network Consultants</t>
  </si>
  <si>
    <t>Software &amp; Cd Rom Sales &amp; Services</t>
  </si>
  <si>
    <t>Fences</t>
  </si>
  <si>
    <t>Fence Contractors</t>
  </si>
  <si>
    <t>Fencing</t>
  </si>
  <si>
    <t>Wedding Supplies &amp; Services</t>
  </si>
  <si>
    <t>Banquet Facilities</t>
  </si>
  <si>
    <t>Bridal Registries</t>
  </si>
  <si>
    <t>Wedding Chapels &amp; Ceremonies</t>
  </si>
  <si>
    <t>Wedding Photographers</t>
  </si>
  <si>
    <t>Wedding Receptions</t>
  </si>
  <si>
    <t>Weddings</t>
  </si>
  <si>
    <t>Weddings Consultants</t>
  </si>
  <si>
    <t>Birth Control &amp; Abortion Services</t>
  </si>
  <si>
    <t>Abortion Services</t>
  </si>
  <si>
    <t>Birth Control Information &amp; Services</t>
  </si>
  <si>
    <t>Counseling Services</t>
  </si>
  <si>
    <t>Counselors Marriage Family Child &amp; Individual</t>
  </si>
  <si>
    <t>Hypnosis &amp; Hypnotherapy</t>
  </si>
  <si>
    <t>Psychiatric Social Workers</t>
  </si>
  <si>
    <t>Psychologists</t>
  </si>
  <si>
    <t>Psychotherapists</t>
  </si>
  <si>
    <t>Loans &amp; Mortgages</t>
  </si>
  <si>
    <t>Financing</t>
  </si>
  <si>
    <t>Foreclosure Assistance</t>
  </si>
  <si>
    <t>Loans</t>
  </si>
  <si>
    <t>Mortgages</t>
  </si>
  <si>
    <t>Mortgages Brokers</t>
  </si>
  <si>
    <t>Payday Loans</t>
  </si>
  <si>
    <t>Real Estate Loans</t>
  </si>
  <si>
    <t>Trust Companies &amp; Services</t>
  </si>
  <si>
    <t>Logging &amp; Sawmills</t>
  </si>
  <si>
    <t>Log Cabins Homes &amp; Buildings</t>
  </si>
  <si>
    <t>Logging Equipment &amp; Supplies</t>
  </si>
  <si>
    <t>Logging Services</t>
  </si>
  <si>
    <t>Lumber Treating</t>
  </si>
  <si>
    <t>Milling Machines &amp; Supplies</t>
  </si>
  <si>
    <t>Millwrights</t>
  </si>
  <si>
    <t>Paper Brokers &amp; Mill Representatives</t>
  </si>
  <si>
    <t>Paper Converting</t>
  </si>
  <si>
    <t>Paper Manufacturers</t>
  </si>
  <si>
    <t>Paper Products Wholesale &amp; Manufacturers</t>
  </si>
  <si>
    <t>Sawmills</t>
  </si>
  <si>
    <t>Timber &amp; Timberland Companies</t>
  </si>
  <si>
    <t>Wood Carving</t>
  </si>
  <si>
    <t>Painting Supplies</t>
  </si>
  <si>
    <t>Paint Manufacturers</t>
  </si>
  <si>
    <t>Paint Stripping &amp; Removing</t>
  </si>
  <si>
    <t>Painters Equipment &amp; Supplies</t>
  </si>
  <si>
    <t>Painters Equipment &amp; Supplies Wholesale &amp; Manufacturers</t>
  </si>
  <si>
    <t>Contractors - Concrete</t>
  </si>
  <si>
    <t>Concrete Breaking Cutting Sawing Etc</t>
  </si>
  <si>
    <t>Concrete Contractors</t>
  </si>
  <si>
    <t>Concrete Pumping Service</t>
  </si>
  <si>
    <t>Concrete Repairing &amp; Restoration</t>
  </si>
  <si>
    <t>Driveway Construction</t>
  </si>
  <si>
    <t>Grouting Contractors</t>
  </si>
  <si>
    <t>Stucco &amp; Exterior Coating Contractors</t>
  </si>
  <si>
    <t>Garage Doors</t>
  </si>
  <si>
    <t>Garage Doors &amp; Openers Sales &amp; Repairs</t>
  </si>
  <si>
    <t>Telecommunications Equipment &amp; Services</t>
  </si>
  <si>
    <t>Audio Visual Equipment Dealers</t>
  </si>
  <si>
    <t>Cable Television Services</t>
  </si>
  <si>
    <t>Closed Circuit Tv</t>
  </si>
  <si>
    <t>Communication Services</t>
  </si>
  <si>
    <t>Communications Equipment</t>
  </si>
  <si>
    <t>Fax Equipment &amp; Systems</t>
  </si>
  <si>
    <t>Fax Transmission Service</t>
  </si>
  <si>
    <t>Fiber Optics</t>
  </si>
  <si>
    <t>Internet Access</t>
  </si>
  <si>
    <t>Internet On Line Service Providers</t>
  </si>
  <si>
    <t>Internet Web Hosting &amp; Design</t>
  </si>
  <si>
    <t>Mobile Telephone Service</t>
  </si>
  <si>
    <t>Paging &amp; Signaling Equipment &amp; Systems</t>
  </si>
  <si>
    <t>Paging Equipment &amp; Service</t>
  </si>
  <si>
    <t>Satellite Communication Services</t>
  </si>
  <si>
    <t>Telecommunication Companies</t>
  </si>
  <si>
    <t>Telecommunication Equipment &amp; Supplies Dealers</t>
  </si>
  <si>
    <t>Telecommunications Dealers &amp; Services</t>
  </si>
  <si>
    <t>Telecommunications Equipment &amp; Systems Service &amp; Repair</t>
  </si>
  <si>
    <t>Telecommunications Installation &amp; Repair</t>
  </si>
  <si>
    <t>Telecommunications Wiring &amp; Cabling</t>
  </si>
  <si>
    <t>Teleconferencing Equipment &amp; Systems</t>
  </si>
  <si>
    <t>Teleconferencing Services</t>
  </si>
  <si>
    <t>Telegrams Service</t>
  </si>
  <si>
    <t>Telegraph Service</t>
  </si>
  <si>
    <t>Telephone &amp; Television Cable Contractors</t>
  </si>
  <si>
    <t>Telephone Answering Service</t>
  </si>
  <si>
    <t>Telephone Calling Cards</t>
  </si>
  <si>
    <t>Telephone Companies</t>
  </si>
  <si>
    <t>Telephone Equipment &amp; Systems Retail</t>
  </si>
  <si>
    <t>Telephone Equipment &amp; Systems Service &amp; Repair</t>
  </si>
  <si>
    <t>Telephone Equipment &amp; Systems Wholesale &amp; Manufacturers</t>
  </si>
  <si>
    <t>Telephone Local Access Service Companies</t>
  </si>
  <si>
    <t>Telephone Service Long Distance</t>
  </si>
  <si>
    <t>Television Cable Catv &amp; Satellite</t>
  </si>
  <si>
    <t>Video Conferencing Systems &amp; Service</t>
  </si>
  <si>
    <t>Videoconferencing Equipment &amp; Services</t>
  </si>
  <si>
    <t>Voice Mail Messaging Systems &amp; Services</t>
  </si>
  <si>
    <t>Wireless Communication Products &amp; Services</t>
  </si>
  <si>
    <t>Wireless Phone Service</t>
  </si>
  <si>
    <t>Security Systems &amp; Services</t>
  </si>
  <si>
    <t>Badges</t>
  </si>
  <si>
    <t>Burglar Alarm Systems</t>
  </si>
  <si>
    <t>Burglar Alarm Systems Dealers Installation Monitoring &amp; Service</t>
  </si>
  <si>
    <t>Computer Security Equipment &amp; Systems</t>
  </si>
  <si>
    <t>Earthquake Products &amp; Services</t>
  </si>
  <si>
    <t>Fire Alarm Systems</t>
  </si>
  <si>
    <t>Fire Extinguishers</t>
  </si>
  <si>
    <t>First Aid Supplies</t>
  </si>
  <si>
    <t>Lightning Protection Equipment</t>
  </si>
  <si>
    <t>Security Systems Consultants</t>
  </si>
  <si>
    <t>Security Service &amp; Systems</t>
  </si>
  <si>
    <t>Guns &amp; Gunsmiths</t>
  </si>
  <si>
    <t>Ammunition</t>
  </si>
  <si>
    <t>Guns Accessories &amp; Gunsmiths</t>
  </si>
  <si>
    <t>Gunsmiths</t>
  </si>
  <si>
    <t>Hunting Equipment &amp; Supplies</t>
  </si>
  <si>
    <t>Carpet &amp; Flooring</t>
  </si>
  <si>
    <t>Carpet &amp; Rug Dealers New</t>
  </si>
  <si>
    <t>Carpet &amp; Rug Installation Services</t>
  </si>
  <si>
    <t>Carpet &amp; Rug Installers Equipment &amp; Supplies</t>
  </si>
  <si>
    <t>Carpet Layers Equipment &amp; Supplies</t>
  </si>
  <si>
    <t>Floor Laying Refinishing &amp; Resurfacing</t>
  </si>
  <si>
    <t>Floor Materials Dealers</t>
  </si>
  <si>
    <t>Floor Materials Wholesale &amp; Manufacturers</t>
  </si>
  <si>
    <t>Flooring &amp; Floor Covering Contractors</t>
  </si>
  <si>
    <t>Linoleum Dealers</t>
  </si>
  <si>
    <t>Mats &amp; Matting Retail</t>
  </si>
  <si>
    <t>Rugs</t>
  </si>
  <si>
    <t>Vinyl Floor Covering</t>
  </si>
  <si>
    <t>Hardware Tools &amp; Services</t>
  </si>
  <si>
    <t>Abrasives</t>
  </si>
  <si>
    <t>Adhesives &amp; Gluing Equipment</t>
  </si>
  <si>
    <t>Air Compressors Sales &amp; Service</t>
  </si>
  <si>
    <t>Battery Charging Equipment</t>
  </si>
  <si>
    <t>Belting &amp; Belting Supplies</t>
  </si>
  <si>
    <t>Blowers &amp; Blower Systems</t>
  </si>
  <si>
    <t>Cabinet Makers Equipment &amp; Supplies</t>
  </si>
  <si>
    <t>Castings</t>
  </si>
  <si>
    <t>Clock Service &amp; Repair</t>
  </si>
  <si>
    <t>Compressors Air &amp; Gas</t>
  </si>
  <si>
    <t>Compressors Repair</t>
  </si>
  <si>
    <t>Concrete Breaking Cutting Sawing Etc Equipment</t>
  </si>
  <si>
    <t>Contractor Equipment &amp; Supplies Dealers &amp; Service</t>
  </si>
  <si>
    <t>Drywall Contractors Equipment &amp; Supplies</t>
  </si>
  <si>
    <t>Filters Air &amp; Gas</t>
  </si>
  <si>
    <t>Fix It Shops &amp; Services</t>
  </si>
  <si>
    <t>Floor Machines Renting</t>
  </si>
  <si>
    <t>Gaskets</t>
  </si>
  <si>
    <t>Gauges &amp; Gages</t>
  </si>
  <si>
    <t>Gears &amp; Gear Cutting</t>
  </si>
  <si>
    <t>Grinding Precision &amp; Production</t>
  </si>
  <si>
    <t>Handyman Services</t>
  </si>
  <si>
    <t>Hardware</t>
  </si>
  <si>
    <t>Hardware Manufacturers</t>
  </si>
  <si>
    <t>Hardware Wholesale &amp; Manufacturers</t>
  </si>
  <si>
    <t>Humidifying Equipment</t>
  </si>
  <si>
    <t>Hydraulic Equipment &amp; Supplies New</t>
  </si>
  <si>
    <t>Hydraulic Equipment Repair</t>
  </si>
  <si>
    <t>Inventors</t>
  </si>
  <si>
    <t>Keymakers</t>
  </si>
  <si>
    <t>Ladders</t>
  </si>
  <si>
    <t>Mason Contractors Equipment &amp; Supplies</t>
  </si>
  <si>
    <t>Measuring Devices</t>
  </si>
  <si>
    <t>Pipe Fittings</t>
  </si>
  <si>
    <t>Pumps Retail</t>
  </si>
  <si>
    <t>Refractories</t>
  </si>
  <si>
    <t>Rental Service Stores &amp; Yards</t>
  </si>
  <si>
    <t>Sand &amp; Gravel Handling Equipment</t>
  </si>
  <si>
    <t>Sandblasting Equipment &amp; Supplies</t>
  </si>
  <si>
    <t>Scales Repair</t>
  </si>
  <si>
    <t>Screw Machines Products</t>
  </si>
  <si>
    <t>Seals O Ring</t>
  </si>
  <si>
    <t>Sharpening Service</t>
  </si>
  <si>
    <t>Snow Removal Equipment Dealers</t>
  </si>
  <si>
    <t>Steel Distributors &amp; Warehouses</t>
  </si>
  <si>
    <t>Tool &amp; Die Makers</t>
  </si>
  <si>
    <t>Tool Grinding Industrial</t>
  </si>
  <si>
    <t>Tool Makers Equipment &amp; Supplies</t>
  </si>
  <si>
    <t>Tools Carbide</t>
  </si>
  <si>
    <t>Tools Electric Repair</t>
  </si>
  <si>
    <t>Tools Pneumatic</t>
  </si>
  <si>
    <t>Tools Renting</t>
  </si>
  <si>
    <t>Tools Repairing &amp; Parts</t>
  </si>
  <si>
    <t>Tube Bend Cut &amp; Fabricate</t>
  </si>
  <si>
    <t>Valves Repairing</t>
  </si>
  <si>
    <t>Wire &amp; Cable Electric</t>
  </si>
  <si>
    <t>Bars, Taverns &amp; Cocktail Lounges</t>
  </si>
  <si>
    <t>Bars Grills &amp; Pubs</t>
  </si>
  <si>
    <t>Breweries &amp; Brew Pubs</t>
  </si>
  <si>
    <t>Cocktail Lounges</t>
  </si>
  <si>
    <t>Night Clubs</t>
  </si>
  <si>
    <t>Taverns</t>
  </si>
  <si>
    <t>Travel &amp; Tourism</t>
  </si>
  <si>
    <t>Airline Ticket Agencies</t>
  </si>
  <si>
    <t>Cruises</t>
  </si>
  <si>
    <t>Guest Ranches</t>
  </si>
  <si>
    <t>Health &amp; Fitness Program Consultants &amp; Trainers</t>
  </si>
  <si>
    <t>Luggage</t>
  </si>
  <si>
    <t>Luggage Repair</t>
  </si>
  <si>
    <t>Passport &amp; Visa Services</t>
  </si>
  <si>
    <t>Resorts</t>
  </si>
  <si>
    <t>Ski Centers &amp; Resorts</t>
  </si>
  <si>
    <t>Travel Accessories</t>
  </si>
  <si>
    <t>Liquor Stores</t>
  </si>
  <si>
    <t>Beer &amp; Ale Retail</t>
  </si>
  <si>
    <t>Liquor Stores Retail</t>
  </si>
  <si>
    <t>Wine Retail</t>
  </si>
  <si>
    <t>Agricultural Equipment &amp; Supplies</t>
  </si>
  <si>
    <t>Cotton Gins</t>
  </si>
  <si>
    <t>Farm Equipment Parts &amp; Repair</t>
  </si>
  <si>
    <t>Farm Equipment Wholesale &amp; Manufacturers</t>
  </si>
  <si>
    <t>Farm Supplies Retail</t>
  </si>
  <si>
    <t>Feed Dealers</t>
  </si>
  <si>
    <t>Grain Dealers</t>
  </si>
  <si>
    <t>Grain Elevator Equipment &amp; Supplies</t>
  </si>
  <si>
    <t>Hay Retail</t>
  </si>
  <si>
    <t>Poultry Equipment &amp; Supplies</t>
  </si>
  <si>
    <t>Seed Cleaning Equipment</t>
  </si>
  <si>
    <t>Tractor Repair &amp; Service</t>
  </si>
  <si>
    <t>Contractors - Tile, Marble &amp; Granite</t>
  </si>
  <si>
    <t>Marble &amp; Terrazzo Cleaning &amp; Service</t>
  </si>
  <si>
    <t>Marble Contractors</t>
  </si>
  <si>
    <t>Terrazzo</t>
  </si>
  <si>
    <t>Tile Ceramic Contractors &amp; Dealers</t>
  </si>
  <si>
    <t>Tile Ceramic Manufacturers &amp; Distributors</t>
  </si>
  <si>
    <t>Tile Non Ceramic Contractors &amp; Dealers</t>
  </si>
  <si>
    <t>Petroleum Services &amp; Equipment</t>
  </si>
  <si>
    <t>Coal &amp; Coke Retail</t>
  </si>
  <si>
    <t>Gas Liquefied Petroleum Bottled &amp; Bulk Retail</t>
  </si>
  <si>
    <t>Gas Wholesale &amp; Distributors</t>
  </si>
  <si>
    <t>Gasoline &amp; Oil Marketers &amp; Distributors</t>
  </si>
  <si>
    <t>Gasoline Wholesale</t>
  </si>
  <si>
    <t>Kerosene Retail</t>
  </si>
  <si>
    <t>Mining Companies &amp; Contractors</t>
  </si>
  <si>
    <t>Oil &amp; Gas Exploration &amp; Development</t>
  </si>
  <si>
    <t>Oil Burners</t>
  </si>
  <si>
    <t>Oil Burners Servicing</t>
  </si>
  <si>
    <t>Oil Field Contractors &amp; Services</t>
  </si>
  <si>
    <t>Oil Field Equipment</t>
  </si>
  <si>
    <t>Oil Field Equipment Rental</t>
  </si>
  <si>
    <t>Oil Field Hauling</t>
  </si>
  <si>
    <t>Oil Fuel</t>
  </si>
  <si>
    <t>Oil Land Leases &amp; Properties</t>
  </si>
  <si>
    <t>Oil Producers</t>
  </si>
  <si>
    <t>Oil Refiners</t>
  </si>
  <si>
    <t>Oil Well Drilling Mud &amp; Additives</t>
  </si>
  <si>
    <t>Oil Well Equipment &amp; Supplies</t>
  </si>
  <si>
    <t>Oil Well Logging &amp; Perforating</t>
  </si>
  <si>
    <t>Oils Lubricating Distributors &amp; Manufacturers</t>
  </si>
  <si>
    <t>Oils Used &amp; Waste</t>
  </si>
  <si>
    <t>Petroleum Consultants</t>
  </si>
  <si>
    <t>Petroleum Products</t>
  </si>
  <si>
    <t>Quarries</t>
  </si>
  <si>
    <t>Convenience Stores &amp; Service Stations</t>
  </si>
  <si>
    <t>Aviation Fuel</t>
  </si>
  <si>
    <t>Convenience Stores</t>
  </si>
  <si>
    <t>Diesel Fuel</t>
  </si>
  <si>
    <t>Gasoline Retail</t>
  </si>
  <si>
    <t>Lubricants</t>
  </si>
  <si>
    <t>Services Stations</t>
  </si>
  <si>
    <t>Truck Stops</t>
  </si>
  <si>
    <t>Cargo &amp; Freight Services</t>
  </si>
  <si>
    <t>Coal Miners &amp; Shippers</t>
  </si>
  <si>
    <t>Customs Brokers</t>
  </si>
  <si>
    <t>Express &amp; Transfer Service</t>
  </si>
  <si>
    <t>Freight Consolidators &amp; Distributors</t>
  </si>
  <si>
    <t>Freight Forwarding</t>
  </si>
  <si>
    <t>Livestock Hauling</t>
  </si>
  <si>
    <t>Railroad Freight</t>
  </si>
  <si>
    <t>Shipping Containers</t>
  </si>
  <si>
    <t>Shipping Services</t>
  </si>
  <si>
    <t>Transportation Brokers &amp; Consultants</t>
  </si>
  <si>
    <t>Trash Hauling</t>
  </si>
  <si>
    <t>Trucking Dump</t>
  </si>
  <si>
    <t>Trucking Heavy Hauling</t>
  </si>
  <si>
    <t>Trucking Light Hauling</t>
  </si>
  <si>
    <t>Trucking Motor Freight</t>
  </si>
  <si>
    <t>Trucking Refrigerated</t>
  </si>
  <si>
    <t>Trucking Transportation Brokers</t>
  </si>
  <si>
    <t>Water Hauling Service</t>
  </si>
  <si>
    <t>Freight Agents &amp; Brokers</t>
  </si>
  <si>
    <t>Alternative Medicine</t>
  </si>
  <si>
    <t>Acupuncturist</t>
  </si>
  <si>
    <t>Holistic Medicine</t>
  </si>
  <si>
    <t>Public &amp; Social Services</t>
  </si>
  <si>
    <t>Abortion Alternatives Information &amp; Services</t>
  </si>
  <si>
    <t>Blind Services &amp; Facilities</t>
  </si>
  <si>
    <t>Child &amp; Adolescent Guidance Counselors</t>
  </si>
  <si>
    <t>Child Abuse Information &amp; Treatment Centers</t>
  </si>
  <si>
    <t>Counselors Human Relations</t>
  </si>
  <si>
    <t>Counselors Licensed</t>
  </si>
  <si>
    <t>Crisis Intervention Service</t>
  </si>
  <si>
    <t>Day Care Centers Adult</t>
  </si>
  <si>
    <t>Domestic Violence Information &amp; Treatment</t>
  </si>
  <si>
    <t>Employee Benefit Plans &amp; Counseling</t>
  </si>
  <si>
    <t>Foster Care Services</t>
  </si>
  <si>
    <t>Gambling Abuse &amp; Addiction Information &amp; Treatment</t>
  </si>
  <si>
    <t>Notaries Public Services</t>
  </si>
  <si>
    <t>Religious Counseling</t>
  </si>
  <si>
    <t>Senior Citizens Services &amp; Organizations</t>
  </si>
  <si>
    <t>Social Service Organizations</t>
  </si>
  <si>
    <t>Social Workers</t>
  </si>
  <si>
    <t>Storm Shelters</t>
  </si>
  <si>
    <t>Suicide Prevention Service</t>
  </si>
  <si>
    <t>Support Groups</t>
  </si>
  <si>
    <t>Contractors - Building</t>
  </si>
  <si>
    <t>Basement Contractors</t>
  </si>
  <si>
    <t>Building Contractors</t>
  </si>
  <si>
    <t>Building Restoration &amp; Preservation</t>
  </si>
  <si>
    <t>Buildings Pole &amp; Post Frame</t>
  </si>
  <si>
    <t>Condominiums &amp; Townhouses</t>
  </si>
  <si>
    <t>Construction Management</t>
  </si>
  <si>
    <t>Contractors General</t>
  </si>
  <si>
    <t>Contractors Remodeling &amp; Repairing</t>
  </si>
  <si>
    <t>Garage Builders &amp; Contractors</t>
  </si>
  <si>
    <t>Greenhouse Builders</t>
  </si>
  <si>
    <t>Home Builders</t>
  </si>
  <si>
    <t>House Leveling</t>
  </si>
  <si>
    <t>Nuclear Reactors Manufacturers</t>
  </si>
  <si>
    <t>Plastering Contractors</t>
  </si>
  <si>
    <t>Refrigeration Services</t>
  </si>
  <si>
    <t>Storefronts</t>
  </si>
  <si>
    <t>Sunrooms Solariums &amp; Atriums</t>
  </si>
  <si>
    <t>Tank Installation &amp; Removal</t>
  </si>
  <si>
    <t>Printing &amp; Copying Equipment &amp; Services</t>
  </si>
  <si>
    <t>Inks Printing &amp; Lithographing</t>
  </si>
  <si>
    <t>Printing Brokers</t>
  </si>
  <si>
    <t>Printing Equipment Repair</t>
  </si>
  <si>
    <t>Clothing &amp; Accessories</t>
  </si>
  <si>
    <t>Baby Accessories &amp; Services</t>
  </si>
  <si>
    <t>Boutique Items</t>
  </si>
  <si>
    <t>Caps Wholesale &amp; Manufacturers</t>
  </si>
  <si>
    <t>Children &amp; Infants Wear Wholesale &amp; Manufacturers</t>
  </si>
  <si>
    <t>Clothing</t>
  </si>
  <si>
    <t>Clothing Children &amp; Infant</t>
  </si>
  <si>
    <t>Clothing Wholesale &amp; Manufacturers</t>
  </si>
  <si>
    <t>Dancing Supplies</t>
  </si>
  <si>
    <t>Designers Apparel</t>
  </si>
  <si>
    <t>Handbags</t>
  </si>
  <si>
    <t>Hats</t>
  </si>
  <si>
    <t>Hosiery Retail</t>
  </si>
  <si>
    <t>Hosiery Wholesale &amp; Manufacturers</t>
  </si>
  <si>
    <t>Leather Clothing</t>
  </si>
  <si>
    <t>Leather Goods Dealers</t>
  </si>
  <si>
    <t>Leather Goods Repairing</t>
  </si>
  <si>
    <t>Leather Goods Wholesale &amp; Manufacturers</t>
  </si>
  <si>
    <t>Lingerie Retail</t>
  </si>
  <si>
    <t>Maternity Clothing Retail</t>
  </si>
  <si>
    <t>Mens Clothing &amp; Furnishings</t>
  </si>
  <si>
    <t>Mens Clothing &amp; Furnishings Wholesale &amp; Manufacturers</t>
  </si>
  <si>
    <t>Perfume Wholesale &amp; Manufacturers</t>
  </si>
  <si>
    <t>Riding Apparel &amp; Equipment</t>
  </si>
  <si>
    <t>Sportswear Retail</t>
  </si>
  <si>
    <t>Sportswear Wholesale &amp; Manufacturers</t>
  </si>
  <si>
    <t>Sunglasses</t>
  </si>
  <si>
    <t>Swimwear &amp; Accessories</t>
  </si>
  <si>
    <t>T Shirts &amp; Sweatshirts</t>
  </si>
  <si>
    <t>T Shirts Wholesale &amp; Manufacturers</t>
  </si>
  <si>
    <t>Western Apparel Retail</t>
  </si>
  <si>
    <t>Womens Apparel</t>
  </si>
  <si>
    <t>Womens Apparel Wholesale &amp; Manufacturers</t>
  </si>
  <si>
    <t>Work Clothing Retail</t>
  </si>
  <si>
    <t>Contractors - Excavation &amp; Wrecking</t>
  </si>
  <si>
    <t>Backhoe Service</t>
  </si>
  <si>
    <t>Blasting Contractors</t>
  </si>
  <si>
    <t>Bulldozing</t>
  </si>
  <si>
    <t>Demolition Service</t>
  </si>
  <si>
    <t>Dredging</t>
  </si>
  <si>
    <t>Excavating Contractors</t>
  </si>
  <si>
    <t>Explosives</t>
  </si>
  <si>
    <t>Land Clearing &amp; Leveling</t>
  </si>
  <si>
    <t>Trenching Services</t>
  </si>
  <si>
    <t>Wrecker Service</t>
  </si>
  <si>
    <t>Automobile - Body Repairs &amp; Painting</t>
  </si>
  <si>
    <t>Automobile Body Shop Equipment &amp; Supplies</t>
  </si>
  <si>
    <t>Automobile Body Shop Services</t>
  </si>
  <si>
    <t>Medical Equipment &amp; Supplies</t>
  </si>
  <si>
    <t>Diabetic Services &amp; Supplies</t>
  </si>
  <si>
    <t>Disabled Persons Equipment &amp; Supplies</t>
  </si>
  <si>
    <t>Gas Industrial Medical Etc Cylinder &amp; Bulk</t>
  </si>
  <si>
    <t>Health Aids &amp; Assistive Devices</t>
  </si>
  <si>
    <t>Hearing Aids &amp; Assistive Devices</t>
  </si>
  <si>
    <t>Home Health Care Equipment &amp; Supplies</t>
  </si>
  <si>
    <t>Hospital Equipment &amp; Supplies Rental</t>
  </si>
  <si>
    <t>Hospital Equipment &amp; Supplies Retail</t>
  </si>
  <si>
    <t>Hospital Equipment &amp; Supplies Wholesale &amp; Manufacturers</t>
  </si>
  <si>
    <t>Medical Alarms Systems &amp; Monitoring</t>
  </si>
  <si>
    <t>Medical Business Administration</t>
  </si>
  <si>
    <t>Medical Equipment &amp; Supplies Repair</t>
  </si>
  <si>
    <t>Medical Management Services &amp; Consulting</t>
  </si>
  <si>
    <t>Microscopes Retail</t>
  </si>
  <si>
    <t>Oxygen Medical</t>
  </si>
  <si>
    <t>Physical Therapists Equipment</t>
  </si>
  <si>
    <t>Physicians &amp; Surgeons Equipment &amp; Supplies</t>
  </si>
  <si>
    <t>Wheelchair Lifts &amp; Ramps</t>
  </si>
  <si>
    <t>Wheelchair Renting</t>
  </si>
  <si>
    <t>Wheelchairs</t>
  </si>
  <si>
    <t>Consultants - Environment</t>
  </si>
  <si>
    <t>Consultants Environmental</t>
  </si>
  <si>
    <t>Energy Management &amp; Conservation Consultants</t>
  </si>
  <si>
    <t>Environmental &amp; Ecological Services</t>
  </si>
  <si>
    <t>Industrial Hygiene Consultants</t>
  </si>
  <si>
    <t>Forestry</t>
  </si>
  <si>
    <t>Consultants Forestry</t>
  </si>
  <si>
    <t>Financial Planning &amp; Investments</t>
  </si>
  <si>
    <t>Actuaries</t>
  </si>
  <si>
    <t>Annuities</t>
  </si>
  <si>
    <t>Bonds Municipal &amp; Corporate</t>
  </si>
  <si>
    <t>Economic Research &amp; Analysis</t>
  </si>
  <si>
    <t>Financial Consultants</t>
  </si>
  <si>
    <t>Investment Advisory Service</t>
  </si>
  <si>
    <t>Investment Management</t>
  </si>
  <si>
    <t>Investment Real Estate</t>
  </si>
  <si>
    <t>Investments</t>
  </si>
  <si>
    <t>Investments Securities</t>
  </si>
  <si>
    <t>Miscellaneous Finance Insurance &amp; Real Estate Services</t>
  </si>
  <si>
    <t>Pension &amp; Profit Sharing Plans</t>
  </si>
  <si>
    <t>Real Estate Investments</t>
  </si>
  <si>
    <t>Retirement Planning Services</t>
  </si>
  <si>
    <t>Heating, Ventilation &amp; Air Conditioning</t>
  </si>
  <si>
    <t>Air Conditioning Contractors &amp; Systems</t>
  </si>
  <si>
    <t>Air Conditioning Equipment &amp; Systems Repairing</t>
  </si>
  <si>
    <t>Air Conditioning Equipment Room Units</t>
  </si>
  <si>
    <t>Air Conditioning Supplies &amp; Parts Wholesale</t>
  </si>
  <si>
    <t>Air Conditioning Systems Cleaning</t>
  </si>
  <si>
    <t>Boiler Distributors &amp; Manufacturers</t>
  </si>
  <si>
    <t>Cooling Systems</t>
  </si>
  <si>
    <t>Electric Equipment &amp; Supplies</t>
  </si>
  <si>
    <t>Electric Heating Equipment &amp; Systems Retail</t>
  </si>
  <si>
    <t>Furnaces Cleaning &amp; Repairing</t>
  </si>
  <si>
    <t>Heat Exchangers</t>
  </si>
  <si>
    <t>Heat Pumps Retail</t>
  </si>
  <si>
    <t>Heaters Sales &amp; Service</t>
  </si>
  <si>
    <t>Heating &amp; Ventilating Contractors</t>
  </si>
  <si>
    <t>Heating Equipment &amp; Systems</t>
  </si>
  <si>
    <t>Heating Equipment &amp; Systems Repairing</t>
  </si>
  <si>
    <t>Heating Equipment &amp; Systems Wholesale &amp; Manufacturers</t>
  </si>
  <si>
    <t>Ventilating Equipment</t>
  </si>
  <si>
    <t>Ethnic Foods</t>
  </si>
  <si>
    <t>Horse Services &amp; Equipment</t>
  </si>
  <si>
    <t>Horse Boarding &amp; Training</t>
  </si>
  <si>
    <t>Horse Dealers</t>
  </si>
  <si>
    <t>Horse Farms &amp; Equipment</t>
  </si>
  <si>
    <t>Horse Furnishings</t>
  </si>
  <si>
    <t>Horse Rentals &amp; Riding</t>
  </si>
  <si>
    <t>Horse Stables</t>
  </si>
  <si>
    <t>Horse Tack &amp; Supplies</t>
  </si>
  <si>
    <t>Horse Transporting</t>
  </si>
  <si>
    <t>Horseshoeing</t>
  </si>
  <si>
    <t>Horseshoers Equipment &amp; Supplies</t>
  </si>
  <si>
    <t>Riding Instruction Horse</t>
  </si>
  <si>
    <t>Stables</t>
  </si>
  <si>
    <t>Water Filtration &amp; Treatment</t>
  </si>
  <si>
    <t>Water Analysis</t>
  </si>
  <si>
    <t>Water Filtration Distillation &amp; Purification Equipment</t>
  </si>
  <si>
    <t>Water Treatment Equipment Service &amp; Supplies</t>
  </si>
  <si>
    <t>Storage Containers, Facilities &amp; Warehouses</t>
  </si>
  <si>
    <t>Automobile Storage</t>
  </si>
  <si>
    <t>Bag Transparent &amp; Plastic</t>
  </si>
  <si>
    <t>Bags Burlap Canvas Cotton Etc</t>
  </si>
  <si>
    <t>Bags Paper</t>
  </si>
  <si>
    <t>Bags Plastic</t>
  </si>
  <si>
    <t>Barrels &amp; Drums</t>
  </si>
  <si>
    <t>Boxes Wooden</t>
  </si>
  <si>
    <t>Business Documents &amp; Records Storage &amp; Management</t>
  </si>
  <si>
    <t>Cargo &amp; Freight Containers</t>
  </si>
  <si>
    <t>Fur Storage</t>
  </si>
  <si>
    <t>Grain Elevators</t>
  </si>
  <si>
    <t>Recreational Vehicles &amp; Campers Storage</t>
  </si>
  <si>
    <t>Storage Household &amp; Commercial</t>
  </si>
  <si>
    <t>Storage Liquid &amp; Bulk</t>
  </si>
  <si>
    <t>Storage Self Service</t>
  </si>
  <si>
    <t>Storage Units</t>
  </si>
  <si>
    <t>Tank Testing &amp; Inspection</t>
  </si>
  <si>
    <t>Tanks Cleaning</t>
  </si>
  <si>
    <t>Tanks Fiberglass Plastic Etc</t>
  </si>
  <si>
    <t>Tanks Metal</t>
  </si>
  <si>
    <t>Trailers Storage</t>
  </si>
  <si>
    <t>Warehouses</t>
  </si>
  <si>
    <t>Warehouses Cold Storage</t>
  </si>
  <si>
    <t>Warehouses Commodity &amp; Merchandise</t>
  </si>
  <si>
    <t>Warehouses Mini &amp; Self Storage</t>
  </si>
  <si>
    <t>Schools - Training &amp; Vocational</t>
  </si>
  <si>
    <t>Art Instruction &amp; Schools</t>
  </si>
  <si>
    <t>Aviation Schools</t>
  </si>
  <si>
    <t>Aviation Services</t>
  </si>
  <si>
    <t>Cooking Schools &amp; Instruction</t>
  </si>
  <si>
    <t>Craft Instruction &amp; Schools</t>
  </si>
  <si>
    <t>First Aid Instruction</t>
  </si>
  <si>
    <t>Language Instruction &amp; Schools</t>
  </si>
  <si>
    <t>Massage Schools</t>
  </si>
  <si>
    <t>Meditation Services</t>
  </si>
  <si>
    <t>Miscellaneous Education Instruction &amp; Training Services</t>
  </si>
  <si>
    <t>Modeling Schools</t>
  </si>
  <si>
    <t>Nurses Schools</t>
  </si>
  <si>
    <t>Reading Instruction</t>
  </si>
  <si>
    <t>Real Estate Schools &amp; Courses</t>
  </si>
  <si>
    <t>School Of Floral Design</t>
  </si>
  <si>
    <t>Schools Beauty &amp; Barber</t>
  </si>
  <si>
    <t>Schools Bible</t>
  </si>
  <si>
    <t>Schools Business Vocational &amp; Trade</t>
  </si>
  <si>
    <t>Schools General Interest</t>
  </si>
  <si>
    <t>Schools Medical &amp; Dental Assistants &amp; Technicians</t>
  </si>
  <si>
    <t>Schools Motivational &amp; Self Improvement</t>
  </si>
  <si>
    <t>Schools Public Speaking</t>
  </si>
  <si>
    <t>Self Defense Programs</t>
  </si>
  <si>
    <t>Video Rentals &amp; Sales</t>
  </si>
  <si>
    <t>Video Tapes &amp; Discs Sales &amp; Rentals</t>
  </si>
  <si>
    <t>Video Production &amp; Duplication</t>
  </si>
  <si>
    <t>Veterinarian Equipment &amp; Supplies</t>
  </si>
  <si>
    <t>Veterinarians Equipment &amp; Supplies</t>
  </si>
  <si>
    <t>Vending Machines</t>
  </si>
  <si>
    <t>Vending Machines Repair &amp; Service</t>
  </si>
  <si>
    <t>Vacuum Cleaners</t>
  </si>
  <si>
    <t>Vacuum Cleaners Industrial &amp; Commercial</t>
  </si>
  <si>
    <t>Utilities - Gas, Water &amp; Electric</t>
  </si>
  <si>
    <t>Electric Companies Utility</t>
  </si>
  <si>
    <t>Gas Companies</t>
  </si>
  <si>
    <t>Gas Line Installation &amp; Repairing</t>
  </si>
  <si>
    <t>Gas Natural</t>
  </si>
  <si>
    <t>Hazardous Waste Control &amp; Management</t>
  </si>
  <si>
    <t>Landfills</t>
  </si>
  <si>
    <t>Sanitation Services</t>
  </si>
  <si>
    <t>Sewage Disposal Systems</t>
  </si>
  <si>
    <t>Snow Removal Services</t>
  </si>
  <si>
    <t>Sweeping Service Power</t>
  </si>
  <si>
    <t>Utilities Contractors</t>
  </si>
  <si>
    <t>Utilities Underground Cable Pipe &amp; Wire Locating Service</t>
  </si>
  <si>
    <t>Waste Disposal Medical &amp; Infectious</t>
  </si>
  <si>
    <t>Water Companies Utility</t>
  </si>
  <si>
    <t>Water Works Equipment &amp; Supplies</t>
  </si>
  <si>
    <t>Upholstery</t>
  </si>
  <si>
    <t>Upholsterers Fabrics Wholesale &amp; Manufacturers</t>
  </si>
  <si>
    <t>Upholsters</t>
  </si>
  <si>
    <t>Upholstery Fabrics Retail</t>
  </si>
  <si>
    <t>Uniforms</t>
  </si>
  <si>
    <t>Uniform Supply Service</t>
  </si>
  <si>
    <t>Truck Parts &amp; Accessories</t>
  </si>
  <si>
    <t>Trophies &amp; Engraving</t>
  </si>
  <si>
    <t>Engravers</t>
  </si>
  <si>
    <t>Engravers Metal</t>
  </si>
  <si>
    <t>Trophies Medals &amp; Awards</t>
  </si>
  <si>
    <t>Toy &amp; Game Stores</t>
  </si>
  <si>
    <t>Amusement Equipment</t>
  </si>
  <si>
    <t>Doll Houses &amp; Accessories Retail</t>
  </si>
  <si>
    <t>Doll Repairing</t>
  </si>
  <si>
    <t>Dolls Retail</t>
  </si>
  <si>
    <t>Games &amp; Game Supplies</t>
  </si>
  <si>
    <t>Kites Retail</t>
  </si>
  <si>
    <t>Toys Retail</t>
  </si>
  <si>
    <t>Toys Wholesale &amp; Manufacturers</t>
  </si>
  <si>
    <t>Video Games</t>
  </si>
  <si>
    <t>Video Games Renting &amp; Leasing</t>
  </si>
  <si>
    <t>Housing Assistance &amp; Shelters</t>
  </si>
  <si>
    <t>Housing Authorities</t>
  </si>
  <si>
    <t>Transportation Services</t>
  </si>
  <si>
    <t>Airport Transportation Service</t>
  </si>
  <si>
    <t>Armored Car Services</t>
  </si>
  <si>
    <t>Bus Lines</t>
  </si>
  <si>
    <t>Buses Charter &amp; Rental Service</t>
  </si>
  <si>
    <t>Car Services</t>
  </si>
  <si>
    <t>Carriages Horse For Hire</t>
  </si>
  <si>
    <t>Chauffeur Service</t>
  </si>
  <si>
    <t>Disabled Persons Transportation Service</t>
  </si>
  <si>
    <t>Ferries</t>
  </si>
  <si>
    <t>Limousine Service</t>
  </si>
  <si>
    <t>Miscellaneous Transportation Utilities &amp; Communication Services</t>
  </si>
  <si>
    <t>Port Authorities &amp; Representatives</t>
  </si>
  <si>
    <t>Railroad Companies</t>
  </si>
  <si>
    <t>Railroad Ticket Agencies</t>
  </si>
  <si>
    <t>School Transportation</t>
  </si>
  <si>
    <t>Sightseeing Tours</t>
  </si>
  <si>
    <t>Taxicab Service</t>
  </si>
  <si>
    <t>Tours Operators &amp; Promoters</t>
  </si>
  <si>
    <t>Transit Lines</t>
  </si>
  <si>
    <t>Transportation Providers</t>
  </si>
  <si>
    <t>Accounting &amp; Bookkeeping Services</t>
  </si>
  <si>
    <t>Accountants Certified Public</t>
  </si>
  <si>
    <t>Billing Services</t>
  </si>
  <si>
    <t>Bookkeeping Service</t>
  </si>
  <si>
    <t>Medical Billing Service</t>
  </si>
  <si>
    <t>Medical Claims Processing &amp; Assistance</t>
  </si>
  <si>
    <t>Payroll Services</t>
  </si>
  <si>
    <t>Tax Consultants</t>
  </si>
  <si>
    <t>Accounting &amp; Bookkeeping</t>
  </si>
  <si>
    <t>Translating &amp; Interpreting Services</t>
  </si>
  <si>
    <t>Hunting &amp; Fishing Sites</t>
  </si>
  <si>
    <t>Fish Hatcheries &amp; Farms</t>
  </si>
  <si>
    <t>Fishing Lakes &amp; Ponds</t>
  </si>
  <si>
    <t>Fishing Tackle Wholesale &amp; Manufacturers</t>
  </si>
  <si>
    <t>Guide Service</t>
  </si>
  <si>
    <t>Hunting &amp; Fishing Guides</t>
  </si>
  <si>
    <t>Hunting &amp; Fishing Preserves</t>
  </si>
  <si>
    <t>Machine Shops</t>
  </si>
  <si>
    <t>Bearings</t>
  </si>
  <si>
    <t>Blacksmiths</t>
  </si>
  <si>
    <t>Die Cutting</t>
  </si>
  <si>
    <t>Machine Tools Rebuilding &amp; Repairing</t>
  </si>
  <si>
    <t>Tobacco Products</t>
  </si>
  <si>
    <t>Cigar Cigarette &amp; Tobacco Dealers Wholesale</t>
  </si>
  <si>
    <t>Ticket Sales</t>
  </si>
  <si>
    <t>Ticket Sales Entertainment &amp; Sports</t>
  </si>
  <si>
    <t>Theatrical Managers &amp; Producers</t>
  </si>
  <si>
    <t>Talent Agencies</t>
  </si>
  <si>
    <t>Television Program Producers</t>
  </si>
  <si>
    <t>Theatrical Agencies</t>
  </si>
  <si>
    <t>Theatrical Equipment &amp; Supplies</t>
  </si>
  <si>
    <t>Table &amp; Tent Rental</t>
  </si>
  <si>
    <t>Tent Rentals</t>
  </si>
  <si>
    <t>Taxidermy</t>
  </si>
  <si>
    <t>Taxidermists Equipment &amp; Supplies</t>
  </si>
  <si>
    <t>Awnings, Canopies &amp; Tarps</t>
  </si>
  <si>
    <t>Awnings &amp; Canopies Dealers</t>
  </si>
  <si>
    <t>Tarps Retail</t>
  </si>
  <si>
    <t>Swimming Pool Equipment &amp; Supplies</t>
  </si>
  <si>
    <t>Swimming Pool Covers &amp; Enclosures</t>
  </si>
  <si>
    <t>Swimming Pool Distributors &amp; Manufacturers</t>
  </si>
  <si>
    <t>Swimming Pool Construction</t>
  </si>
  <si>
    <t>Swimming Pool Contractors &amp; Sales</t>
  </si>
  <si>
    <t>Electronics - Home Entertainment</t>
  </si>
  <si>
    <t>Home Theater Systems</t>
  </si>
  <si>
    <t>Satellite Equipment &amp; Systems</t>
  </si>
  <si>
    <t>Sound Systems &amp; Equipment Rental</t>
  </si>
  <si>
    <t>Stereo &amp; Hi Fi Repairing &amp; Parts</t>
  </si>
  <si>
    <t>Stereo &amp; High Fidelity Equipment</t>
  </si>
  <si>
    <t>Stereo &amp; High Fidelity Equipment Service &amp; Repair</t>
  </si>
  <si>
    <t>Stereophonic &amp; High Fidelity Equipment Wholesale &amp; Manufacturers</t>
  </si>
  <si>
    <t>Television &amp; Radio Dealers</t>
  </si>
  <si>
    <t>Television &amp; Radio Renting &amp; Leasing</t>
  </si>
  <si>
    <t>Television &amp; Radio Service &amp; Repair</t>
  </si>
  <si>
    <t>Surveyors Equipment &amp; Services</t>
  </si>
  <si>
    <t>Land Development &amp; Planning</t>
  </si>
  <si>
    <t>Surveying Instruments</t>
  </si>
  <si>
    <t>Surveyors</t>
  </si>
  <si>
    <t>Surveyors Marine</t>
  </si>
  <si>
    <t>Aircraft Charters &amp; Rentals</t>
  </si>
  <si>
    <t>Aircraft Charter Rental &amp; Leasing</t>
  </si>
  <si>
    <t>Helicopters Charter &amp; Rental Service</t>
  </si>
  <si>
    <t>Sprinklers &amp; Irrigation</t>
  </si>
  <si>
    <t>Irrigation Companies</t>
  </si>
  <si>
    <t>Irrigation Systems &amp; Equipment</t>
  </si>
  <si>
    <t>Spraying Equipment</t>
  </si>
  <si>
    <t>Sprinklers Garden &amp; Lawn Installation &amp; Service</t>
  </si>
  <si>
    <t>Animal Shelters &amp; Humane Societies</t>
  </si>
  <si>
    <t>Animal Shelters</t>
  </si>
  <si>
    <t>Humane Societies</t>
  </si>
  <si>
    <t>Sports &amp; Recreation Facilities</t>
  </si>
  <si>
    <t>Astrologers</t>
  </si>
  <si>
    <t>Bicycle Renting</t>
  </si>
  <si>
    <t>Billiard Parlors &amp; Halls</t>
  </si>
  <si>
    <t>Bingo Halls</t>
  </si>
  <si>
    <t>Cake Decorating Instruction &amp; Supplies</t>
  </si>
  <si>
    <t>Canoes &amp; Kayaks Rental</t>
  </si>
  <si>
    <t>Cheerleading</t>
  </si>
  <si>
    <t>Fairgrounds</t>
  </si>
  <si>
    <t>Gambling Equipment &amp; Supplies</t>
  </si>
  <si>
    <t>Golf Instruction</t>
  </si>
  <si>
    <t>Gun Safety &amp; Marksmanship Instruction</t>
  </si>
  <si>
    <t>Historical Places</t>
  </si>
  <si>
    <t>Juke Boxes</t>
  </si>
  <si>
    <t>Lottery Retailers</t>
  </si>
  <si>
    <t>Paintball</t>
  </si>
  <si>
    <t>Party Centers</t>
  </si>
  <si>
    <t>Race Tracks</t>
  </si>
  <si>
    <t>Recreation Centers</t>
  </si>
  <si>
    <t>Rifle &amp; Pistol Ranges</t>
  </si>
  <si>
    <t>Rodeos</t>
  </si>
  <si>
    <t>Skating Rinks</t>
  </si>
  <si>
    <t>Swimming Pools Private &amp; Public</t>
  </si>
  <si>
    <t>Swimming Pools Public</t>
  </si>
  <si>
    <t>Tennis Court Public</t>
  </si>
  <si>
    <t>Tourist Attractions</t>
  </si>
  <si>
    <t>Tourists Information</t>
  </si>
  <si>
    <t>Trap Skeet &amp; Sporting Clays Ranges</t>
  </si>
  <si>
    <t>Educational Services</t>
  </si>
  <si>
    <t>Educational Consultants</t>
  </si>
  <si>
    <t>Educational Research</t>
  </si>
  <si>
    <t>School Information</t>
  </si>
  <si>
    <t>Tutoring</t>
  </si>
  <si>
    <t>Spas, Saunas &amp; Hot Tubs</t>
  </si>
  <si>
    <t>Hot Tubs &amp; Spas Supplies &amp; Parts</t>
  </si>
  <si>
    <t>Sauna Equipment &amp; Supplies</t>
  </si>
  <si>
    <t>Spas &amp; Hot Tubs</t>
  </si>
  <si>
    <t>Whirlpool Baths Equipment &amp; Supplies</t>
  </si>
  <si>
    <t>Retirement &amp; Assisted Living Facilities</t>
  </si>
  <si>
    <t>Adult Care Facilities</t>
  </si>
  <si>
    <t>Assisted Living Facilities</t>
  </si>
  <si>
    <t>Convalescent Homes</t>
  </si>
  <si>
    <t>Homes Institutional Aged Rest Etc</t>
  </si>
  <si>
    <t>Homes Residential Care</t>
  </si>
  <si>
    <t>Homes Skilled Nursing Care Facilities</t>
  </si>
  <si>
    <t>Nursing Homes &amp; Life Care Facilities</t>
  </si>
  <si>
    <t>Personal Care Homes</t>
  </si>
  <si>
    <t>Rest Homes</t>
  </si>
  <si>
    <t>Retirement &amp; Life Care Communities &amp; Homes</t>
  </si>
  <si>
    <t>Appliance Repair &amp; Supplies</t>
  </si>
  <si>
    <t>Singing Telegrams</t>
  </si>
  <si>
    <t>Telegrams Novelty</t>
  </si>
  <si>
    <t>Ice &amp; Ice Machines</t>
  </si>
  <si>
    <t>Ice</t>
  </si>
  <si>
    <t>Ice Making Equipment Repairing &amp; Service</t>
  </si>
  <si>
    <t>Contractors - Siding</t>
  </si>
  <si>
    <t>Siding Contractors</t>
  </si>
  <si>
    <t>Shopping Malls &amp; Centers</t>
  </si>
  <si>
    <t>Department Stores</t>
  </si>
  <si>
    <t>General Merchandise Retail</t>
  </si>
  <si>
    <t>Malls &amp; Shopping Centers</t>
  </si>
  <si>
    <t>Shopping Centers &amp; Malls</t>
  </si>
  <si>
    <t>Shopping &amp; Errand Services</t>
  </si>
  <si>
    <t>Diaper Service</t>
  </si>
  <si>
    <t>Errand Service</t>
  </si>
  <si>
    <t>Personal Services</t>
  </si>
  <si>
    <t>Shopping Service Personal</t>
  </si>
  <si>
    <t>Sewing Supplies &amp; Services</t>
  </si>
  <si>
    <t>Alterations Clothing</t>
  </si>
  <si>
    <t>Braids</t>
  </si>
  <si>
    <t>Bridal Gown Preservation Service</t>
  </si>
  <si>
    <t>Drapery &amp; Curtain Fabrics Retail</t>
  </si>
  <si>
    <t>Dressmakers</t>
  </si>
  <si>
    <t>Embroidering Machines</t>
  </si>
  <si>
    <t>Embroidery</t>
  </si>
  <si>
    <t>Fabric Shops</t>
  </si>
  <si>
    <t>Fabrics Wholesale &amp; Manufacturers</t>
  </si>
  <si>
    <t>Fur Services</t>
  </si>
  <si>
    <t>Knit Goods</t>
  </si>
  <si>
    <t>Knitting Instruction</t>
  </si>
  <si>
    <t>Needlework &amp; Needlework Materials</t>
  </si>
  <si>
    <t>Quilting</t>
  </si>
  <si>
    <t>Quilting Materials &amp; Supplies</t>
  </si>
  <si>
    <t>Quilts</t>
  </si>
  <si>
    <t>Sewing Contractors</t>
  </si>
  <si>
    <t>Sewing Instruction</t>
  </si>
  <si>
    <t>Sewing Machine Repair &amp; Service</t>
  </si>
  <si>
    <t>Sewing Machines</t>
  </si>
  <si>
    <t>Tailors</t>
  </si>
  <si>
    <t>Weaving &amp; Mending</t>
  </si>
  <si>
    <t>Yarn Retail</t>
  </si>
  <si>
    <t>Zippers</t>
  </si>
  <si>
    <t>Investigation Services</t>
  </si>
  <si>
    <t>Fingerprinting</t>
  </si>
  <si>
    <t>Investigators</t>
  </si>
  <si>
    <t>Lie Detection Service</t>
  </si>
  <si>
    <t>Missing Person Services</t>
  </si>
  <si>
    <t>Private Investigators &amp; Detectives</t>
  </si>
  <si>
    <t>Service Station Equipment &amp; Supplies</t>
  </si>
  <si>
    <t>Service Station Equipment Repair &amp; Service</t>
  </si>
  <si>
    <t>Service Stations Equipment &amp; Supplies</t>
  </si>
  <si>
    <t>Senior Citizen Centers &amp; Services</t>
  </si>
  <si>
    <t>Laundromats</t>
  </si>
  <si>
    <t>Laundries</t>
  </si>
  <si>
    <t>Washing Machines &amp; Dryers Coin Operated</t>
  </si>
  <si>
    <t>Secretarial Services</t>
  </si>
  <si>
    <t>Medical Transcription Service</t>
  </si>
  <si>
    <t>Reporters Court &amp; Convention</t>
  </si>
  <si>
    <t>Stenographers Public</t>
  </si>
  <si>
    <t>Transcription Services</t>
  </si>
  <si>
    <t>Voice Mail</t>
  </si>
  <si>
    <t>Word Processing Service</t>
  </si>
  <si>
    <t>Scuba Diving</t>
  </si>
  <si>
    <t>Diving Instruction</t>
  </si>
  <si>
    <t>Scuba Diving Instruction &amp; Equipment</t>
  </si>
  <si>
    <t>Screen Printing &amp; Embroidery</t>
  </si>
  <si>
    <t>Screen Printing</t>
  </si>
  <si>
    <t>Shirts Custom Made</t>
  </si>
  <si>
    <t>Scientific Equipment &amp; Supplies</t>
  </si>
  <si>
    <t>Laboratories Research &amp; Development</t>
  </si>
  <si>
    <t>Laboratory Equipment &amp; Supplies</t>
  </si>
  <si>
    <t>Laboratory Equipment Repair &amp; Service</t>
  </si>
  <si>
    <t>Magnets &amp; Magnetic Devices</t>
  </si>
  <si>
    <t>Scientific Apparatus &amp; Instruments</t>
  </si>
  <si>
    <t>Telescopes</t>
  </si>
  <si>
    <t>X-ray Apparatus &amp; Supplies</t>
  </si>
  <si>
    <t>X-ray Laboratories Industrial</t>
  </si>
  <si>
    <t>Rubber</t>
  </si>
  <si>
    <t>Foam &amp; Sponge Rubber</t>
  </si>
  <si>
    <t>Rubber Products</t>
  </si>
  <si>
    <t>Rubber Products Manufacturers</t>
  </si>
  <si>
    <t>Boat Dealers &amp; Equipment</t>
  </si>
  <si>
    <t>Boat Builders &amp; Yards</t>
  </si>
  <si>
    <t>Boat Dealers</t>
  </si>
  <si>
    <t>Boat Equipment &amp; Supplies</t>
  </si>
  <si>
    <t>Boat Lifts &amp; Hoists</t>
  </si>
  <si>
    <t>Outboard Motors</t>
  </si>
  <si>
    <t>Yacht &amp; Boat Brokers</t>
  </si>
  <si>
    <t>Yacht &amp; Yacht Operation</t>
  </si>
  <si>
    <t>Restaurant Equipment &amp; Supplies</t>
  </si>
  <si>
    <t>Bakery Equipment</t>
  </si>
  <si>
    <t>Bakery Supplies</t>
  </si>
  <si>
    <t>Cooking Utensils</t>
  </si>
  <si>
    <t>Food Service Equipment</t>
  </si>
  <si>
    <t>Food Service Management</t>
  </si>
  <si>
    <t>Kitchen Accessories</t>
  </si>
  <si>
    <t>Restaurant Design &amp; Planning Service</t>
  </si>
  <si>
    <t>Restaurant Equipment &amp; Supplies Retail</t>
  </si>
  <si>
    <t>Restaurant Equipment &amp; Supplies Wholesale &amp; Manufacturers</t>
  </si>
  <si>
    <t>Restaurant Equipment Repair &amp; Service</t>
  </si>
  <si>
    <t>Restaurant Management</t>
  </si>
  <si>
    <t>Ambulance &amp; Rescue Services</t>
  </si>
  <si>
    <t>Air Ambulance Service</t>
  </si>
  <si>
    <t>Ambulance Service</t>
  </si>
  <si>
    <t>Emergency &amp; Disaster Preparedness Services</t>
  </si>
  <si>
    <t>Rescue Services</t>
  </si>
  <si>
    <t>Boat Services</t>
  </si>
  <si>
    <t>Barge Companies</t>
  </si>
  <si>
    <t>Boat Cleaning</t>
  </si>
  <si>
    <t>Boat Moorages</t>
  </si>
  <si>
    <t>Boat Renting &amp; Leasing</t>
  </si>
  <si>
    <t>Boat Repairing &amp; Service</t>
  </si>
  <si>
    <t>Boat Storage</t>
  </si>
  <si>
    <t>Boat Transporting</t>
  </si>
  <si>
    <t>Boating Instruction</t>
  </si>
  <si>
    <t>Docks</t>
  </si>
  <si>
    <t>Fiberglass Materials Repairing</t>
  </si>
  <si>
    <t>Marine Equipment &amp; Supplies Repairing</t>
  </si>
  <si>
    <t>Marine Surveyors</t>
  </si>
  <si>
    <t>Steamship Companies</t>
  </si>
  <si>
    <t>Towing Marine</t>
  </si>
  <si>
    <t>Contractors - Drywall</t>
  </si>
  <si>
    <t>Contractors Drywall</t>
  </si>
  <si>
    <t>Boat Charters &amp; Rentals</t>
  </si>
  <si>
    <t>Boat Charter</t>
  </si>
  <si>
    <t>Formal Wear</t>
  </si>
  <si>
    <t>Bridal Shops</t>
  </si>
  <si>
    <t>Costumes Rentals</t>
  </si>
  <si>
    <t>Formal Wear Rental &amp; Sales</t>
  </si>
  <si>
    <t>Tuxedos Rental &amp; Sales</t>
  </si>
  <si>
    <t>Wedding Dresses</t>
  </si>
  <si>
    <t>Religious Goods</t>
  </si>
  <si>
    <t>Butchers &amp; Meat Processing</t>
  </si>
  <si>
    <t>Trailers &amp; Recreational Vehicles</t>
  </si>
  <si>
    <t>Campers &amp; Camper Shells</t>
  </si>
  <si>
    <t>Motor Homes</t>
  </si>
  <si>
    <t>Recreational Vehicle Equipment Parts &amp; Supplies</t>
  </si>
  <si>
    <t>Recreational Vehicles &amp; Campers</t>
  </si>
  <si>
    <t>Recreational Vehicles Renting &amp; Leasing</t>
  </si>
  <si>
    <t>Recreational Vehicles Repair &amp; Service</t>
  </si>
  <si>
    <t>Towing Equipment Automotive</t>
  </si>
  <si>
    <t>Trailer Manufacturing &amp; Designing</t>
  </si>
  <si>
    <t>Trailers Auto Utility Sports Etc</t>
  </si>
  <si>
    <t>Trailers Horse &amp; Livestock</t>
  </si>
  <si>
    <t>Trailers Repair &amp; Service</t>
  </si>
  <si>
    <t>Truck Bed Liners &amp; Caps</t>
  </si>
  <si>
    <t>Post Offices &amp; Mail Services</t>
  </si>
  <si>
    <t>Air Cargo &amp; Package Express Service</t>
  </si>
  <si>
    <t>Courier &amp; Delivery Service</t>
  </si>
  <si>
    <t>Delivery Service</t>
  </si>
  <si>
    <t>Mail Order &amp; Catalog Shopping</t>
  </si>
  <si>
    <t>Mail Receiving &amp; Forwarding Service</t>
  </si>
  <si>
    <t>Mailbox Manufacturers &amp; Distributors</t>
  </si>
  <si>
    <t>Mailbox Rental &amp; Receiving Service</t>
  </si>
  <si>
    <t>Mailing Service</t>
  </si>
  <si>
    <t>Shipping Package &amp; Parcel</t>
  </si>
  <si>
    <t>Shipping Room Supplies &amp; Equipment</t>
  </si>
  <si>
    <t>Chemicals &amp; Gases</t>
  </si>
  <si>
    <t>Chemical Manufacturers &amp; Distributors</t>
  </si>
  <si>
    <t>Chemicals</t>
  </si>
  <si>
    <t>Chemicals Wholesale &amp; Manufacturers</t>
  </si>
  <si>
    <t>Chemists Analysis &amp; Consulting</t>
  </si>
  <si>
    <t>Dry Ice Retail</t>
  </si>
  <si>
    <t>Helium</t>
  </si>
  <si>
    <t>Martial Arts Instruction</t>
  </si>
  <si>
    <t>Karate &amp; Other Martial Arts Instruction</t>
  </si>
  <si>
    <t>Martial Arts</t>
  </si>
  <si>
    <t>Contractors - Masonry</t>
  </si>
  <si>
    <t>Chimney Cleaning Building &amp; Repairing</t>
  </si>
  <si>
    <t>Foundation Contractors</t>
  </si>
  <si>
    <t>Masonry Contractors</t>
  </si>
  <si>
    <t>Retaining Walls</t>
  </si>
  <si>
    <t>Stone Contractors</t>
  </si>
  <si>
    <t>Tuckpointing</t>
  </si>
  <si>
    <t>Legal Services</t>
  </si>
  <si>
    <t>Attorneys</t>
  </si>
  <si>
    <t>Attorneys Agriculture &amp; Animal Law</t>
  </si>
  <si>
    <t>Attorneys Appellate Practice</t>
  </si>
  <si>
    <t>Attorneys Civil Litigation Law</t>
  </si>
  <si>
    <t>Attorneys Civil Trial Law</t>
  </si>
  <si>
    <t>Attorneys Communications Law</t>
  </si>
  <si>
    <t>Attorneys Construction Law</t>
  </si>
  <si>
    <t>Attorneys Consumer Rights Law</t>
  </si>
  <si>
    <t>Attorneys Driving Dui-dwi Law</t>
  </si>
  <si>
    <t>Attorneys Education Law</t>
  </si>
  <si>
    <t>Attorneys Elder Law</t>
  </si>
  <si>
    <t>Attorneys Entertainment Arts &amp; Sports Law</t>
  </si>
  <si>
    <t>Attorneys Mediation Services</t>
  </si>
  <si>
    <t>Attorneys Military &amp; Veterans Law</t>
  </si>
  <si>
    <t>Attorneys Personal Injury &amp; Wrongful Death Law</t>
  </si>
  <si>
    <t>Courts &amp; Judges</t>
  </si>
  <si>
    <t>Divorce Assistance</t>
  </si>
  <si>
    <t>Immigration &amp; Naturalization Consultants</t>
  </si>
  <si>
    <t>Legal Consultants</t>
  </si>
  <si>
    <t>Legal Document Assistants</t>
  </si>
  <si>
    <t>Legal Services Plans</t>
  </si>
  <si>
    <t>Mediation Services</t>
  </si>
  <si>
    <t>Medical Legal Consultants</t>
  </si>
  <si>
    <t>Paralegal Services</t>
  </si>
  <si>
    <t>Coffee Houses</t>
  </si>
  <si>
    <t>Coffee Break Service &amp; Supplies Retail</t>
  </si>
  <si>
    <t>Lighting Fixtures</t>
  </si>
  <si>
    <t>Landscape Lighting</t>
  </si>
  <si>
    <t>Light Bulbs &amp; Tubes</t>
  </si>
  <si>
    <t>Lighting Consultants &amp; Designers</t>
  </si>
  <si>
    <t>Lighting Fixtures Repairing &amp; Maintenance</t>
  </si>
  <si>
    <t>Lighting Fixtures Supplies &amp; Parts</t>
  </si>
  <si>
    <t>Lighting Fixtures Wholesale &amp; Manufacturers</t>
  </si>
  <si>
    <t>Lighting Systems &amp; Equipment</t>
  </si>
  <si>
    <t>Fuel, Oil &amp; Coal</t>
  </si>
  <si>
    <t>Oil Marketers</t>
  </si>
  <si>
    <t>Real Estate - Property Management</t>
  </si>
  <si>
    <t>Collectibles</t>
  </si>
  <si>
    <t>Coin Dealers Supplies Etc</t>
  </si>
  <si>
    <t>Stamps Collectible</t>
  </si>
  <si>
    <t>Real Estate - Commercial &amp; Industrial</t>
  </si>
  <si>
    <t>Real Estate Commercial &amp; Industrial</t>
  </si>
  <si>
    <t>Real Estate - Apartments &amp; Condominiums</t>
  </si>
  <si>
    <t>Apartment Referral Service</t>
  </si>
  <si>
    <t>Boarding Houses</t>
  </si>
  <si>
    <t>Corporate Housing</t>
  </si>
  <si>
    <t>Retirement Apartments &amp; Hotels</t>
  </si>
  <si>
    <t>Rooming Houses</t>
  </si>
  <si>
    <t>Townhouses</t>
  </si>
  <si>
    <t>Physicians - Optometry &amp; Opthalmology</t>
  </si>
  <si>
    <t>Contact Lenses Retail</t>
  </si>
  <si>
    <t>Optical Goods</t>
  </si>
  <si>
    <t>Optical Goods Service &amp; Repair</t>
  </si>
  <si>
    <t>Opticians</t>
  </si>
  <si>
    <t>Optometrists Od</t>
  </si>
  <si>
    <t>Optometrists Od Contact Lenses</t>
  </si>
  <si>
    <t>Optometrists Od Therapy &amp; Visual Training</t>
  </si>
  <si>
    <t>Railroad Construction</t>
  </si>
  <si>
    <t>Railroad Contractors</t>
  </si>
  <si>
    <t>Railroad Equipment &amp; Supplies</t>
  </si>
  <si>
    <t>Trains</t>
  </si>
  <si>
    <t>Pump Sales &amp; Service</t>
  </si>
  <si>
    <t>Publishers</t>
  </si>
  <si>
    <t>Bookbinders</t>
  </si>
  <si>
    <t>Greeting Cards Wholesale &amp; Manufacturers</t>
  </si>
  <si>
    <t>Lithographers</t>
  </si>
  <si>
    <t>Maps Publishers &amp; Distributors</t>
  </si>
  <si>
    <t>Menu Printers &amp; Services</t>
  </si>
  <si>
    <t>Music Publishers</t>
  </si>
  <si>
    <t>Publisher Periodical</t>
  </si>
  <si>
    <t>Publishers Books</t>
  </si>
  <si>
    <t>Publishers Directory &amp; Guide</t>
  </si>
  <si>
    <t>Publishers Magazine</t>
  </si>
  <si>
    <t>Typesetting</t>
  </si>
  <si>
    <t>Wedding Announcements &amp; Invitations</t>
  </si>
  <si>
    <t>Yellow Page Advertising</t>
  </si>
  <si>
    <t>Agricultural Production</t>
  </si>
  <si>
    <t>Dairies</t>
  </si>
  <si>
    <t>Dairy Products Wholesale</t>
  </si>
  <si>
    <t>Farms</t>
  </si>
  <si>
    <t>Fruit &amp; Vegetable Growers &amp; Shippers</t>
  </si>
  <si>
    <t>Livestock</t>
  </si>
  <si>
    <t>Livestock Breeders</t>
  </si>
  <si>
    <t>Livestock Buyers</t>
  </si>
  <si>
    <t>Orchards</t>
  </si>
  <si>
    <t>Poultry Farms &amp; Services</t>
  </si>
  <si>
    <t>Poultry Wholesale</t>
  </si>
  <si>
    <t>Ranches</t>
  </si>
  <si>
    <t>Vineyards</t>
  </si>
  <si>
    <t>Pet Services &amp; Supplies</t>
  </si>
  <si>
    <t>Animal Health Products &amp; Services</t>
  </si>
  <si>
    <t>Aquariums &amp; Aquarium Supplies Dealers</t>
  </si>
  <si>
    <t>Aquariums &amp; Aquarium Supplies Leasing &amp; Maintenance &amp; Repair</t>
  </si>
  <si>
    <t>Bird Barriers Repellents &amp; Controls</t>
  </si>
  <si>
    <t>Birds &amp; Bird Supplies Retail</t>
  </si>
  <si>
    <t>Kennels &amp; Pet Boarding</t>
  </si>
  <si>
    <t>Pet Breeders</t>
  </si>
  <si>
    <t>Pet Cemeteries &amp; Crematories</t>
  </si>
  <si>
    <t>Pet Cemeteries &amp; Crematories Supplies</t>
  </si>
  <si>
    <t>Pet Exercising Feeding &amp; Sitting Services</t>
  </si>
  <si>
    <t>Pet Grooming &amp; Washing</t>
  </si>
  <si>
    <t>Pet Services</t>
  </si>
  <si>
    <t>Pet Shops</t>
  </si>
  <si>
    <t>Pet Supplies Wholesale &amp; Manufacturers</t>
  </si>
  <si>
    <t>Pet Training</t>
  </si>
  <si>
    <t>Tropical Fish Retail</t>
  </si>
  <si>
    <t>Pregnancy &amp; Childbirth Services</t>
  </si>
  <si>
    <t>Portable Toilet Rental</t>
  </si>
  <si>
    <t>Toilets Portable</t>
  </si>
  <si>
    <t>Plumbing Supplies</t>
  </si>
  <si>
    <t>Bathroom Fixtures Cabinets &amp; Accessories Retail</t>
  </si>
  <si>
    <t>Boilers New &amp; Used</t>
  </si>
  <si>
    <t>Grease Traps</t>
  </si>
  <si>
    <t>Heating Equipment Retail</t>
  </si>
  <si>
    <t>Pipe</t>
  </si>
  <si>
    <t>Plastics Rods Tubes Sheets Etc Supply Centers Retail</t>
  </si>
  <si>
    <t>Plumbing Fixtures Parts &amp; Supplies Retail</t>
  </si>
  <si>
    <t>Plumbing Fixtures Parts &amp; Supplies Wholesale &amp; Manufacturers</t>
  </si>
  <si>
    <t>Shower Doors &amp; Enclosures</t>
  </si>
  <si>
    <t>Valves Retail</t>
  </si>
  <si>
    <t>Contractors - Carpentry</t>
  </si>
  <si>
    <t>Carpenters</t>
  </si>
  <si>
    <t>Wood Finishing</t>
  </si>
  <si>
    <t>Woodwork</t>
  </si>
  <si>
    <t>Drug &amp; Alcohol Resources</t>
  </si>
  <si>
    <t>Plastics</t>
  </si>
  <si>
    <t>Plastic Extruders</t>
  </si>
  <si>
    <t>Plastic Fabricating</t>
  </si>
  <si>
    <t>Plastic Fabricating Finishing &amp; Decorating</t>
  </si>
  <si>
    <t>Plastic Fabrics Film Sheets Rods Etc Producers</t>
  </si>
  <si>
    <t>Plastic Foam</t>
  </si>
  <si>
    <t>Plastic Molders</t>
  </si>
  <si>
    <t>Plastic Products Finished</t>
  </si>
  <si>
    <t>Plastics High Pressure Laminates</t>
  </si>
  <si>
    <t>Plastics Machinery &amp; Equipment</t>
  </si>
  <si>
    <t>Plastics Raw Materials Powders Liquids Resins Etc Manufacturers</t>
  </si>
  <si>
    <t>Medical Laboratories</t>
  </si>
  <si>
    <t>Drug Screening Or Detection Service</t>
  </si>
  <si>
    <t>Laboratories Analytical &amp; Testing</t>
  </si>
  <si>
    <t>Laboratories Clinical</t>
  </si>
  <si>
    <t>Laboratories Dental</t>
  </si>
  <si>
    <t>Laboratories Medical</t>
  </si>
  <si>
    <t>Magnetic Resonance Imaging Mri</t>
  </si>
  <si>
    <t>Medical Research &amp; Development</t>
  </si>
  <si>
    <t>Paternity Tests &amp; Services</t>
  </si>
  <si>
    <t>X-ray Laboratories Medical &amp; Dental</t>
  </si>
  <si>
    <t>Water Well, Pipe Line &amp; Drilling Services</t>
  </si>
  <si>
    <t>Drilling Companies</t>
  </si>
  <si>
    <t>Pipe Line Companies</t>
  </si>
  <si>
    <t>Pipe Line Contractors</t>
  </si>
  <si>
    <t>Water Well Drilling &amp; Service</t>
  </si>
  <si>
    <t>Photo Finishing</t>
  </si>
  <si>
    <t>Color Separations Offset Photo Engraving Etc</t>
  </si>
  <si>
    <t>Photo Retouching &amp; Restoration</t>
  </si>
  <si>
    <t>Photographic Color Prints Transparencies &amp; Compact Discs</t>
  </si>
  <si>
    <t>Electronics - Equipment &amp; Services</t>
  </si>
  <si>
    <t>Antennas</t>
  </si>
  <si>
    <t>Electric Equipment &amp; Supplies Wholesale &amp; Manufacturers</t>
  </si>
  <si>
    <t>Electric Motor Controls Wholesale &amp; Manufacturers</t>
  </si>
  <si>
    <t>Electric Motor Repair</t>
  </si>
  <si>
    <t>Electric Motors Manufacturers &amp; Distributors</t>
  </si>
  <si>
    <t>Electronic Equipment &amp; Supplies</t>
  </si>
  <si>
    <t>Electronic Equipment &amp; Supplies Service &amp; Repair</t>
  </si>
  <si>
    <t>Electronic Manufacturers Representatives</t>
  </si>
  <si>
    <t>Electronics Research &amp; Development</t>
  </si>
  <si>
    <t>Power Transmission Equipment</t>
  </si>
  <si>
    <t>Printed &amp; Etched Circuits</t>
  </si>
  <si>
    <t>Semiconductor Devices</t>
  </si>
  <si>
    <t>Television Systems Closed Circuit</t>
  </si>
  <si>
    <t>Television Systems Equipment Closed Circuit</t>
  </si>
  <si>
    <t>Transformers Retail</t>
  </si>
  <si>
    <t>Typewriters Repairing</t>
  </si>
  <si>
    <t>Video Equipment Sales &amp; Rentals</t>
  </si>
  <si>
    <t>Prosthetics &amp; Orthopedic Supplies</t>
  </si>
  <si>
    <t>Artificial Eyes Human</t>
  </si>
  <si>
    <t>Breast Forms Prosthesis Apparel &amp; Accessories</t>
  </si>
  <si>
    <t>Mastectomy Apparel Forms &amp; Prosthesis</t>
  </si>
  <si>
    <t>Orthopedic Appliances</t>
  </si>
  <si>
    <t>Orthotics Foot Prosthesis</t>
  </si>
  <si>
    <t>Ostomy Supplies &amp; Services</t>
  </si>
  <si>
    <t>Prosthetic Devices</t>
  </si>
  <si>
    <t>Electronics - Dealers</t>
  </si>
  <si>
    <t>Computers Wholesale &amp; Manufacturers</t>
  </si>
  <si>
    <t>Electronic Equipment &amp; Supplies Manufacturers</t>
  </si>
  <si>
    <t>Electronic Equipment &amp; Supplies Wholesale &amp; Manufacturers</t>
  </si>
  <si>
    <t>Electronics</t>
  </si>
  <si>
    <t>Mental Health Services</t>
  </si>
  <si>
    <t>Alzheimers Education Referral &amp; Support Service</t>
  </si>
  <si>
    <t>Payment Handling Equipment &amp; Supplies</t>
  </si>
  <si>
    <t>Automated Teller Machines Sales &amp; Service</t>
  </si>
  <si>
    <t>Coin &amp; Bill Counting Sorting &amp; Wrapping Machines</t>
  </si>
  <si>
    <t>Contractors - Paving</t>
  </si>
  <si>
    <t>Asphalt Paving Contractors</t>
  </si>
  <si>
    <t>Grading Contractors</t>
  </si>
  <si>
    <t>Paving Contractors</t>
  </si>
  <si>
    <t>Road Building Contractors</t>
  </si>
  <si>
    <t>Party Supplies</t>
  </si>
  <si>
    <t>Paper &amp; Plastic Cups Containers Utensils Etc</t>
  </si>
  <si>
    <t>Party Favors Supplies &amp; Services</t>
  </si>
  <si>
    <t>Party Supplies Renting</t>
  </si>
  <si>
    <t>Consultants - Entertainment</t>
  </si>
  <si>
    <t>Audio Visual Consultants &amp; Designers</t>
  </si>
  <si>
    <t>Fire Protection Systems &amp; Services</t>
  </si>
  <si>
    <t>Fire Protection Consultants &amp; Services</t>
  </si>
  <si>
    <t>Schools - Parochial &amp; Private</t>
  </si>
  <si>
    <t>Schools Parochial</t>
  </si>
  <si>
    <t>Schools Private</t>
  </si>
  <si>
    <t>Schools Religious Education</t>
  </si>
  <si>
    <t>Consultants - Food</t>
  </si>
  <si>
    <t>Food &amp; Beverage Consultants</t>
  </si>
  <si>
    <t>Food Facilities Consultants</t>
  </si>
  <si>
    <t>Parking Facilities</t>
  </si>
  <si>
    <t>Parking Facilities Equipment &amp; Supplies</t>
  </si>
  <si>
    <t>Parking Lots &amp; Garages</t>
  </si>
  <si>
    <t>Valet Services</t>
  </si>
  <si>
    <t>International Trade</t>
  </si>
  <si>
    <t>Barter &amp; Trade Exchanges</t>
  </si>
  <si>
    <t>Export Management</t>
  </si>
  <si>
    <t>Exporters</t>
  </si>
  <si>
    <t>Importers</t>
  </si>
  <si>
    <t>International Business &amp; Trade Services</t>
  </si>
  <si>
    <t>International Trade Consultants</t>
  </si>
  <si>
    <t>Hobby &amp; Model Supplies</t>
  </si>
  <si>
    <t>Crafts &amp; Craft Supplies Wholesale &amp; Manufacturers</t>
  </si>
  <si>
    <t>Hobby &amp; Model Supplies Wholesale &amp; Manufacturers</t>
  </si>
  <si>
    <t>Packaging Supplies &amp; Equipment</t>
  </si>
  <si>
    <t>Boxes Corrugated &amp; Fiber Retail</t>
  </si>
  <si>
    <t>Containerized Freight Service</t>
  </si>
  <si>
    <t>Packaging Materials</t>
  </si>
  <si>
    <t>Packaging Materials Wholesale &amp; Manufacturers</t>
  </si>
  <si>
    <t>Packaging Service</t>
  </si>
  <si>
    <t>Packing &amp; Crating Service</t>
  </si>
  <si>
    <t>Packaging Machinery</t>
  </si>
  <si>
    <t>Refrigeration Sales &amp; Service</t>
  </si>
  <si>
    <t>Refrigeration Equipment Commercial &amp; Industrial Sales &amp; Service</t>
  </si>
  <si>
    <t>Refrigeration Equipment Commercial &amp; Industrial Servicing</t>
  </si>
  <si>
    <t>Refrigeration Equipment Commercial Sales &amp; Service</t>
  </si>
  <si>
    <t>Health Services</t>
  </si>
  <si>
    <t>Audiologists</t>
  </si>
  <si>
    <t>Biofeedback Therapists</t>
  </si>
  <si>
    <t>Birth Centers</t>
  </si>
  <si>
    <t>Blood Banks &amp; Centers</t>
  </si>
  <si>
    <t>Breastfeeding Supplies &amp; Information</t>
  </si>
  <si>
    <t>Cancer Treatment Centers</t>
  </si>
  <si>
    <t>Childbirth Education &amp; Preparation</t>
  </si>
  <si>
    <t>Drug Abuse &amp; Addiction Information &amp; Treatment</t>
  </si>
  <si>
    <t>Eating Disorder Information &amp; Treatment Centers</t>
  </si>
  <si>
    <t>Emergency Medical &amp; Surgical Service</t>
  </si>
  <si>
    <t>Hair Replacement</t>
  </si>
  <si>
    <t>Health Care Consultants</t>
  </si>
  <si>
    <t>Hearing Tests</t>
  </si>
  <si>
    <t>Home Health Care Services</t>
  </si>
  <si>
    <t>Hospice</t>
  </si>
  <si>
    <t>Hospital Consultants</t>
  </si>
  <si>
    <t>Mammography</t>
  </si>
  <si>
    <t>Medical Record Service</t>
  </si>
  <si>
    <t>Medical Service Organizations</t>
  </si>
  <si>
    <t>Midwives</t>
  </si>
  <si>
    <t>Occupational Therapists</t>
  </si>
  <si>
    <t>Organ Donation &amp; Tissue Banks</t>
  </si>
  <si>
    <t>Physicians &amp; Surgeons Information Bureaus</t>
  </si>
  <si>
    <t>Pregnancy Information Services</t>
  </si>
  <si>
    <t>Speech Pathologists</t>
  </si>
  <si>
    <t>Stress Management Services</t>
  </si>
  <si>
    <t>Outdoor Recreation</t>
  </si>
  <si>
    <t>Balloons Hot Air</t>
  </si>
  <si>
    <t>Baseball &amp; Softball Batting Range</t>
  </si>
  <si>
    <t>Boat Excursions &amp; Sightseeing Trips</t>
  </si>
  <si>
    <t>Golf Courses Miniature</t>
  </si>
  <si>
    <t>Parachute Jumping &amp; Sky Diving Instruction</t>
  </si>
  <si>
    <t>Picnic Grounds</t>
  </si>
  <si>
    <t>Playgrounds</t>
  </si>
  <si>
    <t>Rafts &amp; Raft Trips</t>
  </si>
  <si>
    <t>Inventory Control &amp; Equipment</t>
  </si>
  <si>
    <t>Bar Coding Service</t>
  </si>
  <si>
    <t>Fulfillment Services</t>
  </si>
  <si>
    <t>Inventory Services</t>
  </si>
  <si>
    <t>Marking &amp; Coding Equipment</t>
  </si>
  <si>
    <t>Nurses</t>
  </si>
  <si>
    <t>Nurses Registries</t>
  </si>
  <si>
    <t>Music Production Services</t>
  </si>
  <si>
    <t>Music Arrangers &amp; Composers</t>
  </si>
  <si>
    <t>Music Background &amp; Foreground</t>
  </si>
  <si>
    <t>Recording Services Sound &amp; Video</t>
  </si>
  <si>
    <t>Recording Studio Equipment Sound &amp; Video</t>
  </si>
  <si>
    <t>Music Instruction</t>
  </si>
  <si>
    <t>Museums &amp; Zoological Gardens</t>
  </si>
  <si>
    <t>Historical Organizations</t>
  </si>
  <si>
    <t>Museums</t>
  </si>
  <si>
    <t>Zoological Gardens</t>
  </si>
  <si>
    <t>Manufacturing &amp; Assembly</t>
  </si>
  <si>
    <t>Assembly &amp; Fabricating Service</t>
  </si>
  <si>
    <t>Balancing Service Industrial</t>
  </si>
  <si>
    <t>Boiler Repairing &amp; Cleaning</t>
  </si>
  <si>
    <t>Boilers Rental</t>
  </si>
  <si>
    <t>Brake Manufacturers &amp; Distributors</t>
  </si>
  <si>
    <t>Calibration Services</t>
  </si>
  <si>
    <t>Casters &amp; Glides</t>
  </si>
  <si>
    <t>Coating Protective Applicators</t>
  </si>
  <si>
    <t>Consultants Manufacturers</t>
  </si>
  <si>
    <t>Contract Manufacturing</t>
  </si>
  <si>
    <t>Fasteners Industrial &amp; Construction</t>
  </si>
  <si>
    <t>Miscellaneous Wholesale &amp; Manufacturing</t>
  </si>
  <si>
    <t>Pattern Makers</t>
  </si>
  <si>
    <t>Wire Manufacturers</t>
  </si>
  <si>
    <t>Modeling</t>
  </si>
  <si>
    <t>Model Makers</t>
  </si>
  <si>
    <t>Modeling Agencies</t>
  </si>
  <si>
    <t>Mattresses &amp; Bedding</t>
  </si>
  <si>
    <t>Mattresses &amp; Bedding Retail</t>
  </si>
  <si>
    <t>Mattresses Wholesale &amp; Manufacturers</t>
  </si>
  <si>
    <t>Mobile Home Parks</t>
  </si>
  <si>
    <t>Mobile Home Parks &amp; Communities</t>
  </si>
  <si>
    <t>Mobile Home Dealers &amp; Services</t>
  </si>
  <si>
    <t>Manufactured &amp; Mobile Homes</t>
  </si>
  <si>
    <t>Mobile Home Equipment &amp; Parts</t>
  </si>
  <si>
    <t>Mobile Homes</t>
  </si>
  <si>
    <t>Mobile Homes Repairing &amp; Service</t>
  </si>
  <si>
    <t>Metal</t>
  </si>
  <si>
    <t>Aluminum</t>
  </si>
  <si>
    <t>Aluminum Fabricators</t>
  </si>
  <si>
    <t>Aluminum Products</t>
  </si>
  <si>
    <t>Brass</t>
  </si>
  <si>
    <t>Bronze Tablets</t>
  </si>
  <si>
    <t>Copper</t>
  </si>
  <si>
    <t>Forgings</t>
  </si>
  <si>
    <t>Foundries</t>
  </si>
  <si>
    <t>Gratings</t>
  </si>
  <si>
    <t>Heat Treating Metal</t>
  </si>
  <si>
    <t>Iron &amp; Iron Work</t>
  </si>
  <si>
    <t>Lead</t>
  </si>
  <si>
    <t>Metal Cleaning &amp; Polishing</t>
  </si>
  <si>
    <t>Metal Distributors</t>
  </si>
  <si>
    <t>Metal Fabricators</t>
  </si>
  <si>
    <t>Metal Finishers</t>
  </si>
  <si>
    <t>Metal Roll &amp; Form</t>
  </si>
  <si>
    <t>Metal Specialties</t>
  </si>
  <si>
    <t>Metal Stamping</t>
  </si>
  <si>
    <t>Plating</t>
  </si>
  <si>
    <t>Powder Coaters</t>
  </si>
  <si>
    <t>Sheet Metal Fabricators Equipment &amp; Supplies</t>
  </si>
  <si>
    <t>Sheet Metal Specialties</t>
  </si>
  <si>
    <t>Smelters &amp; Refiners Equipment &amp; Supplies</t>
  </si>
  <si>
    <t>Springs Coil Flat Etc Distributors &amp; Manufacturers</t>
  </si>
  <si>
    <t>Steel Distributors &amp; Warehouses Wholesale</t>
  </si>
  <si>
    <t>Tubing Metal</t>
  </si>
  <si>
    <t>Wire Rope</t>
  </si>
  <si>
    <t>Aids Resources</t>
  </si>
  <si>
    <t>Aids Hiv Educational Referral &amp; Support Services</t>
  </si>
  <si>
    <t>Aircraft Dealers &amp; Services</t>
  </si>
  <si>
    <t>Aircraft Dealers</t>
  </si>
  <si>
    <t>Aircraft Equipment Parts &amp; Supplies</t>
  </si>
  <si>
    <t>Aircraft Manufacturers</t>
  </si>
  <si>
    <t>Aircraft Service &amp; Maintenance</t>
  </si>
  <si>
    <t>Aviation Consultants</t>
  </si>
  <si>
    <t>Archery</t>
  </si>
  <si>
    <t>Archery Ranges</t>
  </si>
  <si>
    <t>Electronics - Audio Visual</t>
  </si>
  <si>
    <t>Audio Visual Equipment Renting &amp; Leasing</t>
  </si>
  <si>
    <t>Audio Visual Equipment Service &amp; Repair</t>
  </si>
  <si>
    <t>Audio Visual Production Services</t>
  </si>
  <si>
    <t>Motion Picture Producers &amp; Studios</t>
  </si>
  <si>
    <t>Motion Picture Technical &amp; Support Services</t>
  </si>
  <si>
    <t>Production Companies Film Tv Radio Etc</t>
  </si>
  <si>
    <t>Video Duplication Services</t>
  </si>
  <si>
    <t>Video Equipment Service &amp; Repair</t>
  </si>
  <si>
    <t>Automation &amp; Control Systems</t>
  </si>
  <si>
    <t>Automation Consultants</t>
  </si>
  <si>
    <t>Process Services</t>
  </si>
  <si>
    <t>Beverage Sales &amp; Distribution</t>
  </si>
  <si>
    <t>Beer &amp; Ale Wholesale</t>
  </si>
  <si>
    <t>Beverage Dispensing Equipment &amp; Supplies</t>
  </si>
  <si>
    <t>Beverages Distributors Bottlers &amp; Wholesale</t>
  </si>
  <si>
    <t>Bottles Retail</t>
  </si>
  <si>
    <t>Bottles Wholesale &amp; Manufacturers</t>
  </si>
  <si>
    <t>Liquors Wholesale</t>
  </si>
  <si>
    <t>Wines Wholesale</t>
  </si>
  <si>
    <t>Yoga Instruction</t>
  </si>
  <si>
    <t>Commercial &amp; Industrial Vehicles &amp; Machinery</t>
  </si>
  <si>
    <t>Automation Systems &amp; Equipment</t>
  </si>
  <si>
    <t>Automobile Manufacturer Equipment &amp; Supplies</t>
  </si>
  <si>
    <t>Automobile Transporters &amp; Drive Away Companies</t>
  </si>
  <si>
    <t>Bulldozers</t>
  </si>
  <si>
    <t>Buses Distributors &amp; Manufacturers</t>
  </si>
  <si>
    <t>Compactors Waste Commercial &amp; Industrial</t>
  </si>
  <si>
    <t>Controls Control Systems &amp; Regulators</t>
  </si>
  <si>
    <t>Conveyors &amp; Conveying Equipment</t>
  </si>
  <si>
    <t>Cooling Towers</t>
  </si>
  <si>
    <t>Crane Rental &amp; Service</t>
  </si>
  <si>
    <t>Crane Sales</t>
  </si>
  <si>
    <t>Crane Services</t>
  </si>
  <si>
    <t>Cranes</t>
  </si>
  <si>
    <t>Cranes Repairing</t>
  </si>
  <si>
    <t>Dairy Equipment &amp; Supplies</t>
  </si>
  <si>
    <t>Die Castings</t>
  </si>
  <si>
    <t>Drilling &amp; Boring Equipment &amp; Supplies</t>
  </si>
  <si>
    <t>Drilling Equipment &amp; Supplies</t>
  </si>
  <si>
    <t>Electrical Discharge Machining</t>
  </si>
  <si>
    <t>Electronic Testing Equipment</t>
  </si>
  <si>
    <t>Engines Diesel</t>
  </si>
  <si>
    <t>Environmental &amp; Ecological Equipment &amp; Services</t>
  </si>
  <si>
    <t>Excavating Equipment</t>
  </si>
  <si>
    <t>Fans Industrial &amp; Commercial Dealers</t>
  </si>
  <si>
    <t>Food Processing Equipment &amp; Supplies</t>
  </si>
  <si>
    <t>Forklifts &amp; Trucks</t>
  </si>
  <si>
    <t>Forklifts &amp; Trucks Rental</t>
  </si>
  <si>
    <t>Grocers Commercial Equipment Sales &amp; Service</t>
  </si>
  <si>
    <t>Hoists</t>
  </si>
  <si>
    <t>Industrial Equipment &amp; Supplies</t>
  </si>
  <si>
    <t>Lithographers Equipment &amp; Supplies</t>
  </si>
  <si>
    <t>Lubricating Devices &amp; Systems</t>
  </si>
  <si>
    <t>Machinery</t>
  </si>
  <si>
    <t>Machinery Rebuilding &amp; Repairing</t>
  </si>
  <si>
    <t>Machinery Specially Designed</t>
  </si>
  <si>
    <t>Machinery Used</t>
  </si>
  <si>
    <t>Material Handling Equipment</t>
  </si>
  <si>
    <t>Meters</t>
  </si>
  <si>
    <t>Mobile Home Transporting</t>
  </si>
  <si>
    <t>Plating Equipment &amp; Supplies</t>
  </si>
  <si>
    <t>Pneumatic Equipment Components</t>
  </si>
  <si>
    <t>Printing Equipment</t>
  </si>
  <si>
    <t>Printing Supplies</t>
  </si>
  <si>
    <t>Pumps Wholesale &amp; Manufacturers</t>
  </si>
  <si>
    <t>Recycling Equipment &amp; Systems</t>
  </si>
  <si>
    <t>Robots</t>
  </si>
  <si>
    <t>Screen Printing Equipment &amp; Supplies</t>
  </si>
  <si>
    <t>Sewer Cleaning Equipment &amp; Supplies</t>
  </si>
  <si>
    <t>Sewing Machines Commercial &amp; Industrial</t>
  </si>
  <si>
    <t>Textile Machinery &amp; Parts</t>
  </si>
  <si>
    <t>Tractor Dealers</t>
  </si>
  <si>
    <t>Tractor Equipment &amp; Parts</t>
  </si>
  <si>
    <t>Tractor Renting &amp; Leasing</t>
  </si>
  <si>
    <t>Trailers Truck Sales</t>
  </si>
  <si>
    <t>Transmissions Truck Tractor Etc</t>
  </si>
  <si>
    <t>Truck Bodies</t>
  </si>
  <si>
    <t>Truck Caps Shells &amp; Toppers</t>
  </si>
  <si>
    <t>Truck Dealers New Trucks</t>
  </si>
  <si>
    <t>Truck Driver Leasing</t>
  </si>
  <si>
    <t>Truck Equipment &amp; Parts Used</t>
  </si>
  <si>
    <t>Truck Equipment Parts &amp; Accessories</t>
  </si>
  <si>
    <t>Truck Refrigeration Equipment</t>
  </si>
  <si>
    <t>Trucking Contract Hauling</t>
  </si>
  <si>
    <t>Trucks Industrial</t>
  </si>
  <si>
    <t>Waste Reduction Disposal &amp; Recycling Equipment Industrial</t>
  </si>
  <si>
    <t>Winches</t>
  </si>
  <si>
    <t>Woodworking Equipment &amp; Supplies</t>
  </si>
  <si>
    <t>Craft &amp; Cooking Instruction</t>
  </si>
  <si>
    <t>Credit Counseling &amp; Bankruptcy Services</t>
  </si>
  <si>
    <t>Credit &amp; Debt Counseling Services</t>
  </si>
  <si>
    <t>Credit Repair Service</t>
  </si>
  <si>
    <t>Credit Reporting Agencies</t>
  </si>
  <si>
    <t>Convention &amp; Meeting Facilities</t>
  </si>
  <si>
    <t>Conference Centers</t>
  </si>
  <si>
    <t>Convention Services &amp; Facilities</t>
  </si>
  <si>
    <t>Expositions &amp; Trade Shows</t>
  </si>
  <si>
    <t>Meeting &amp; Event Planning Services</t>
  </si>
  <si>
    <t>Meeting Rooms &amp; Facilities</t>
  </si>
  <si>
    <t>Trade Shows Expositions &amp; Fairs</t>
  </si>
  <si>
    <t>Disabled Persons Services</t>
  </si>
  <si>
    <t>Homes Mental Retardation &amp; Developmentally Disabled</t>
  </si>
  <si>
    <t>Mental Retardation &amp; Developmentally Disabled Information &amp; Services</t>
  </si>
  <si>
    <t>Document &amp; Records Services</t>
  </si>
  <si>
    <t>Blueprinters</t>
  </si>
  <si>
    <t>Copying &amp; Duplicating Service</t>
  </si>
  <si>
    <t>Document Imaging</t>
  </si>
  <si>
    <t>Print Services</t>
  </si>
  <si>
    <t>Scanning &amp; Plotting Equipment Service &amp; Supplies</t>
  </si>
  <si>
    <t>Scanning Services</t>
  </si>
  <si>
    <t>Drinking Water Distributors</t>
  </si>
  <si>
    <t>Disaster Preparation &amp; Recovery</t>
  </si>
  <si>
    <t>Educational Supplies</t>
  </si>
  <si>
    <t>Educational Materials</t>
  </si>
  <si>
    <t>Elevators</t>
  </si>
  <si>
    <t>Elevator Consultants</t>
  </si>
  <si>
    <t>Elevator Sales &amp; Service</t>
  </si>
  <si>
    <t>Elevators Freight &amp; Passenger</t>
  </si>
  <si>
    <t>Engineers</t>
  </si>
  <si>
    <t>Aerospace Industries &amp; Services</t>
  </si>
  <si>
    <t>Bridge Builders</t>
  </si>
  <si>
    <t>Building Construction Consultants</t>
  </si>
  <si>
    <t>City &amp; Regional Planners</t>
  </si>
  <si>
    <t>Engineering Equipment &amp; Supplies</t>
  </si>
  <si>
    <t>Engineering Services</t>
  </si>
  <si>
    <t>Engineers Air Conditioning Heating &amp; Ventilating</t>
  </si>
  <si>
    <t>Engineers Civil</t>
  </si>
  <si>
    <t>Engineers Consulting</t>
  </si>
  <si>
    <t>Engineers Electrical</t>
  </si>
  <si>
    <t>Engineers Environmental</t>
  </si>
  <si>
    <t>Engineers Forensic</t>
  </si>
  <si>
    <t>Engineers Foundation</t>
  </si>
  <si>
    <t>Engineers Geotechnical Soils</t>
  </si>
  <si>
    <t>Engineers Mechanical</t>
  </si>
  <si>
    <t>Engineers Professional</t>
  </si>
  <si>
    <t>Engineers Sanitary</t>
  </si>
  <si>
    <t>Engineers Structural</t>
  </si>
  <si>
    <t>Engineers Traffic &amp; Transportation</t>
  </si>
  <si>
    <t>Miscellaneous Contractor &amp; Consultant Services</t>
  </si>
  <si>
    <t>Planners City Regional Etc</t>
  </si>
  <si>
    <t>Restorations Historical</t>
  </si>
  <si>
    <t>Steam Cleaning Commercial Industrial &amp; Residential</t>
  </si>
  <si>
    <t>Entertainers &amp; Entertainment</t>
  </si>
  <si>
    <t>Amusement Places</t>
  </si>
  <si>
    <t>Animals Circus Zoo &amp; Preserve</t>
  </si>
  <si>
    <t>Clowns</t>
  </si>
  <si>
    <t>Disc Jockey Services</t>
  </si>
  <si>
    <t>Entertainers</t>
  </si>
  <si>
    <t>Entertainment Agencies &amp; Bureaus</t>
  </si>
  <si>
    <t>Magicians</t>
  </si>
  <si>
    <t>Musicians</t>
  </si>
  <si>
    <t>Orchestras Symphonies &amp; Bands</t>
  </si>
  <si>
    <t>Party &amp; Event Planning Service</t>
  </si>
  <si>
    <t>Collection Agencies &amp; Repossessions</t>
  </si>
  <si>
    <t>Collection Agencies</t>
  </si>
  <si>
    <t>Repossessing Service</t>
  </si>
  <si>
    <t>Contractors - Deck &amp; Patio</t>
  </si>
  <si>
    <t>Deck &amp; Patio Builders</t>
  </si>
  <si>
    <t>Gazebos</t>
  </si>
  <si>
    <t>Hazardous Materials Management</t>
  </si>
  <si>
    <t>Personal Coaching</t>
  </si>
  <si>
    <t>Coaches &amp; Communications Consultants</t>
  </si>
  <si>
    <t>Coaching</t>
  </si>
  <si>
    <t>Speakers Lectures &amp; Seminars</t>
  </si>
  <si>
    <t>Test Preparation Services</t>
  </si>
  <si>
    <t>Training Program Design &amp; Development</t>
  </si>
  <si>
    <t>Landscaping Services &amp; Supplies</t>
  </si>
  <si>
    <t>Bark &amp; Bark Products</t>
  </si>
  <si>
    <t>Brick Pavers</t>
  </si>
  <si>
    <t>Gardeners</t>
  </si>
  <si>
    <t>Landscape Consultants &amp; Designers</t>
  </si>
  <si>
    <t>Landscape Contractors</t>
  </si>
  <si>
    <t>Lawn &amp; Garden Equipment &amp; Supplies Rental</t>
  </si>
  <si>
    <t>Lawn &amp; Garden Equipment &amp; Supplies Wholesale &amp; Manufacturers</t>
  </si>
  <si>
    <t>Lawn &amp; Grounds Maintenance</t>
  </si>
  <si>
    <t>Lawn Mowers Sharpening &amp; Repairing</t>
  </si>
  <si>
    <t>Ponds &amp; Pond Supplies</t>
  </si>
  <si>
    <t>Sod &amp; Sodding Service</t>
  </si>
  <si>
    <t>Sprinklers Garden &amp; Lawn</t>
  </si>
  <si>
    <t>Topsoil</t>
  </si>
  <si>
    <t>Tree Services</t>
  </si>
  <si>
    <t>Archaeologic Services</t>
  </si>
  <si>
    <t>Archaeologists</t>
  </si>
  <si>
    <t>Auctions</t>
  </si>
  <si>
    <t>Auctioneers &amp; Auction Houses</t>
  </si>
  <si>
    <t>Automobile Auctions</t>
  </si>
  <si>
    <t>Fiberglass</t>
  </si>
  <si>
    <t>Fiberglass Fabricators</t>
  </si>
  <si>
    <t>Bagel &amp; Donut Shops</t>
  </si>
  <si>
    <t>Donuts</t>
  </si>
  <si>
    <t>Fireplaces</t>
  </si>
  <si>
    <t>Fireplace Equipment Retail</t>
  </si>
  <si>
    <t>Fireplace Equipment Wholesale &amp; Manufacturers</t>
  </si>
  <si>
    <t>Bakery Equipment &amp; Supplies</t>
  </si>
  <si>
    <t>First Aid &amp; Safety</t>
  </si>
  <si>
    <t>Slings</t>
  </si>
  <si>
    <t>Contractors - Marine</t>
  </si>
  <si>
    <t>Divers</t>
  </si>
  <si>
    <t>Marine Contractors</t>
  </si>
  <si>
    <t>Marine Equipment &amp; Supplies</t>
  </si>
  <si>
    <t>Marine Electronic Equipment &amp; Supplies</t>
  </si>
  <si>
    <t>Beer &amp; Wine Making Equipment &amp; Supplies</t>
  </si>
  <si>
    <t>Beer Home Brewing Equipment &amp; Supplies</t>
  </si>
  <si>
    <t>Winemaking Equipment &amp; Supplies</t>
  </si>
  <si>
    <t>Electronics - Batteries</t>
  </si>
  <si>
    <t>Batteries Wholesale &amp; Manufacturers</t>
  </si>
  <si>
    <t>Real Estate - Development</t>
  </si>
  <si>
    <t>Land Companies</t>
  </si>
  <si>
    <t>Real Estate Developers</t>
  </si>
  <si>
    <t>Pool Tables &amp; Billiards</t>
  </si>
  <si>
    <t>Billiard Equipment &amp; Supplies</t>
  </si>
  <si>
    <t>Billiard Service</t>
  </si>
  <si>
    <t>Junk &amp; Scrap Dealers</t>
  </si>
  <si>
    <t>Automobile Wrecking &amp; Salvage</t>
  </si>
  <si>
    <t>Junk Dealers</t>
  </si>
  <si>
    <t>Plastics Scrap</t>
  </si>
  <si>
    <t>Scrap Metals</t>
  </si>
  <si>
    <t>Waste Paper</t>
  </si>
  <si>
    <t>Research - Medical</t>
  </si>
  <si>
    <t>Law Enforcement &amp; Public Safety</t>
  </si>
  <si>
    <t>Fire Protection Services</t>
  </si>
  <si>
    <t>Justices Of The Peace</t>
  </si>
  <si>
    <t>Police &amp; Law Enforcement</t>
  </si>
  <si>
    <t>Police Equipment Retail</t>
  </si>
  <si>
    <t>Safety Consultants &amp; Training</t>
  </si>
  <si>
    <t>Security Guard &amp; Patrol Service</t>
  </si>
  <si>
    <t>Gymnastics Instruction</t>
  </si>
  <si>
    <t>Business Brokers &amp; Franchising</t>
  </si>
  <si>
    <t>Business Brokers</t>
  </si>
  <si>
    <t>Commodity Futures Brokers</t>
  </si>
  <si>
    <t>Consultants Brokers</t>
  </si>
  <si>
    <t>Cotton Brokers</t>
  </si>
  <si>
    <t>Diamond Brokers &amp; Buyers</t>
  </si>
  <si>
    <t>Franchising</t>
  </si>
  <si>
    <t>Stock &amp; Bond Brokers</t>
  </si>
  <si>
    <t>Signs, Displays, Flags &amp; Banners</t>
  </si>
  <si>
    <t>Flags Banners &amp; Flagpoles</t>
  </si>
  <si>
    <t>Holographic Service</t>
  </si>
  <si>
    <t>Name Plates</t>
  </si>
  <si>
    <t>Sign Erectors &amp; Hangers</t>
  </si>
  <si>
    <t>Signs</t>
  </si>
  <si>
    <t>Signs Equipment &amp; Supplies</t>
  </si>
  <si>
    <t>Signs Maintenance &amp; Repair</t>
  </si>
  <si>
    <t>Signs Novelty</t>
  </si>
  <si>
    <t>Traffic Signs Signals &amp; Equipment</t>
  </si>
  <si>
    <t>Dancing Supplies &amp; Apparel</t>
  </si>
  <si>
    <t>Escort Services</t>
  </si>
  <si>
    <t>Dating Services</t>
  </si>
  <si>
    <t>Gambling &amp; Gaming</t>
  </si>
  <si>
    <t>Casinos</t>
  </si>
  <si>
    <t>Fairgrounds &amp; Rodeos</t>
  </si>
  <si>
    <t>Carnival Supplies</t>
  </si>
  <si>
    <t>Carnivals</t>
  </si>
  <si>
    <t>Dental Equipment &amp; Supplies</t>
  </si>
  <si>
    <t>Dental Equipment Repairing &amp; Refinishing</t>
  </si>
  <si>
    <t>Agricultural Services</t>
  </si>
  <si>
    <t>Aerial Applicators</t>
  </si>
  <si>
    <t>Agricultural Consultants</t>
  </si>
  <si>
    <t>Agricultural Seeding &amp; Spraying</t>
  </si>
  <si>
    <t>Apiaries &amp; Beekeepers</t>
  </si>
  <si>
    <t>Crop Dusting Seeding &amp; Spraying</t>
  </si>
  <si>
    <t>Erosion Control</t>
  </si>
  <si>
    <t>Farm Management Services</t>
  </si>
  <si>
    <t>Feed Dealers Wholesale &amp; Manufacturers</t>
  </si>
  <si>
    <t>Flower Growers &amp; Shippers</t>
  </si>
  <si>
    <t>Hydro Seeding</t>
  </si>
  <si>
    <t>Miscellaneous Agricultural &amp; Animal Services</t>
  </si>
  <si>
    <t>Seeds &amp; Bulbs Wholesale &amp; Growers</t>
  </si>
  <si>
    <t>Soil Testing Service</t>
  </si>
  <si>
    <t>Tanners</t>
  </si>
  <si>
    <t>Weed Control Equipment Service &amp; Supplies</t>
  </si>
  <si>
    <t>Fashion Design</t>
  </si>
  <si>
    <t>Fashion Designers</t>
  </si>
  <si>
    <t>Generators</t>
  </si>
  <si>
    <t>Generators Electric</t>
  </si>
  <si>
    <t>Generators Electric Rental</t>
  </si>
  <si>
    <t>Generators Electric Service &amp; Repair</t>
  </si>
  <si>
    <t>Geologic Services</t>
  </si>
  <si>
    <t>Geographers</t>
  </si>
  <si>
    <t>Geologists Service</t>
  </si>
  <si>
    <t>Geophysicists</t>
  </si>
  <si>
    <t>Maps &amp; Mapping Services</t>
  </si>
  <si>
    <t>Mining Equipment &amp; Supplies</t>
  </si>
  <si>
    <t>Rock Shops</t>
  </si>
  <si>
    <t>Fur Goods &amp; Services</t>
  </si>
  <si>
    <t>Fur Products</t>
  </si>
  <si>
    <t>Libraries</t>
  </si>
  <si>
    <t>Laundry Services</t>
  </si>
  <si>
    <t>Linen Supply Service</t>
  </si>
  <si>
    <t>Fund Raising &amp; Financial Aid</t>
  </si>
  <si>
    <t>Foundations Educational Philanthropic Research Etc</t>
  </si>
  <si>
    <t>Fund Raising Games Merchandise &amp; Supplies</t>
  </si>
  <si>
    <t>Scholarships Financial Aid &amp; Information</t>
  </si>
  <si>
    <t>Automobile - License &amp; Title Services</t>
  </si>
  <si>
    <t>Laundry Supplies</t>
  </si>
  <si>
    <t>Laundry Equipment</t>
  </si>
  <si>
    <t>Appliances</t>
  </si>
  <si>
    <t>Appliance Sales</t>
  </si>
  <si>
    <t>Appliance Supplies &amp; Parts</t>
  </si>
  <si>
    <t>Appliances Household Major Dealers &amp; Services</t>
  </si>
  <si>
    <t>Appliances Major Rent &amp; Lease</t>
  </si>
  <si>
    <t>Appliances Major Service Repair &amp; Installation</t>
  </si>
  <si>
    <t>Appliances Major Wholesale &amp; Manufacturers</t>
  </si>
  <si>
    <t>Appliances Small Dealers</t>
  </si>
  <si>
    <t>Appliances Small Service &amp; Repair</t>
  </si>
  <si>
    <t>Appliances Wholesale</t>
  </si>
  <si>
    <t>Coffee Brewing Machines Dealers</t>
  </si>
  <si>
    <t>Dishwashing Machines Sales &amp; Service</t>
  </si>
  <si>
    <t>Dishwashing Machines Service &amp; Repair</t>
  </si>
  <si>
    <t>Furnaces Heating</t>
  </si>
  <si>
    <t>Garbage Disposals Sales &amp; Repair</t>
  </si>
  <si>
    <t>Ice Making Equipment</t>
  </si>
  <si>
    <t>Ice Making Equipment &amp; Machines Retail</t>
  </si>
  <si>
    <t>Lamp Repairing &amp; Mounting</t>
  </si>
  <si>
    <t>Microwave Oven Dealers</t>
  </si>
  <si>
    <t>Microwave Oven Service &amp; Repair</t>
  </si>
  <si>
    <t>Ranges &amp; Ovens Dealers</t>
  </si>
  <si>
    <t>Ranges &amp; Ovens Supplies &amp; Parts</t>
  </si>
  <si>
    <t>Ranges &amp; Stoves Sales &amp; Service</t>
  </si>
  <si>
    <t>Refrigerators &amp; Freezers Sales &amp; Service</t>
  </si>
  <si>
    <t>Refrigerators &amp; Freezers Service &amp; Repair</t>
  </si>
  <si>
    <t>Refrigerators &amp; Freezers Supplies &amp; Parts</t>
  </si>
  <si>
    <t>Stoves Wood Coal Gas Pellet Etc</t>
  </si>
  <si>
    <t>Vacuum Cleaners Repair &amp; Service</t>
  </si>
  <si>
    <t>Washers &amp; Dryers Sales &amp; Service</t>
  </si>
  <si>
    <t>Washing Machines &amp; Dryers Rent &amp; Lease</t>
  </si>
  <si>
    <t>Washing Machines &amp; Dryers Service &amp; Repair</t>
  </si>
  <si>
    <t>Washing Machines Dryers &amp; Ironers Wholesale &amp; Manufacturers</t>
  </si>
  <si>
    <t>Grills Gas &amp; Electric</t>
  </si>
  <si>
    <t>Campgrounds &amp; Rv Parks</t>
  </si>
  <si>
    <t>Campgrounds &amp; Recreational Vehicle Parks</t>
  </si>
  <si>
    <t>Camps</t>
  </si>
  <si>
    <t>Camps Day</t>
  </si>
  <si>
    <t>Parks</t>
  </si>
  <si>
    <t>Recreational Vehicle Parks</t>
  </si>
  <si>
    <t>Retreat Facility</t>
  </si>
  <si>
    <t>Sports Instruction</t>
  </si>
  <si>
    <t>Organizations &amp; Associations</t>
  </si>
  <si>
    <t>Arts Organizations &amp; Centers</t>
  </si>
  <si>
    <t>Associations</t>
  </si>
  <si>
    <t>Associations Health</t>
  </si>
  <si>
    <t>Business &amp; Trade Organizations</t>
  </si>
  <si>
    <t>Charitable Organizations</t>
  </si>
  <si>
    <t>Clubs Special Interest</t>
  </si>
  <si>
    <t>Community Action Agencies</t>
  </si>
  <si>
    <t>Fund Raising Counselors &amp; Organizations</t>
  </si>
  <si>
    <t>Homeowners Associations</t>
  </si>
  <si>
    <t>Human Services Organizations</t>
  </si>
  <si>
    <t>Labor Organizations</t>
  </si>
  <si>
    <t>Manufacturers Agents &amp; Representatives</t>
  </si>
  <si>
    <t>News Publications Trade Associations Etc</t>
  </si>
  <si>
    <t>Non Profit Organizations</t>
  </si>
  <si>
    <t>Organizations</t>
  </si>
  <si>
    <t>Political Organizations</t>
  </si>
  <si>
    <t>Professional Organizations</t>
  </si>
  <si>
    <t>Singles Organizations</t>
  </si>
  <si>
    <t>Environmental Conservation &amp; Ecological Organizations</t>
  </si>
  <si>
    <t>Diet, Nutrition &amp; Weight Management</t>
  </si>
  <si>
    <t>Nutritionists</t>
  </si>
  <si>
    <t>Nutritionists &amp; Dietitians</t>
  </si>
  <si>
    <t>Weight Control Service</t>
  </si>
  <si>
    <t>Contractors - Foundation</t>
  </si>
  <si>
    <t>Mud Jacking Contractors Residential</t>
  </si>
  <si>
    <t>Internet Services</t>
  </si>
  <si>
    <t>Computer Online Services &amp; Electronic Commerce</t>
  </si>
  <si>
    <t>Internet Products &amp; Services</t>
  </si>
  <si>
    <t>Electronics - Telephone</t>
  </si>
  <si>
    <t>Pay Telephones &amp; Booths Equipment &amp; Service</t>
  </si>
  <si>
    <t>Fraternities &amp; Sororities</t>
  </si>
  <si>
    <t>Fraternal Organizations</t>
  </si>
  <si>
    <t>Septic Tanks</t>
  </si>
  <si>
    <t>Cesspool Builders &amp; Cleaners</t>
  </si>
  <si>
    <t>Septic Tanks &amp; Systems Cleaning</t>
  </si>
  <si>
    <t>Septic Tanks &amp; Systems Contractors &amp; Dealers</t>
  </si>
  <si>
    <t>Septic Tanks &amp; Systems Wholesale &amp; Manufacturers</t>
  </si>
  <si>
    <t>Funeral, Burial, &amp; Cremation</t>
  </si>
  <si>
    <t>Caskets</t>
  </si>
  <si>
    <t>Crematories &amp; Cremation Services</t>
  </si>
  <si>
    <t>Embalmers</t>
  </si>
  <si>
    <t>Funeral Director Service</t>
  </si>
  <si>
    <t>Funeral Homes &amp; Directors</t>
  </si>
  <si>
    <t>Funeral Planning Services</t>
  </si>
  <si>
    <t>Funeral Supplies &amp; Services</t>
  </si>
  <si>
    <t>Mausoleums</t>
  </si>
  <si>
    <t>Hearing Aids &amp; Testing</t>
  </si>
  <si>
    <t>Hearing Aids Parts &amp; Repairing</t>
  </si>
  <si>
    <t>Cleaning Services &amp; Supplies</t>
  </si>
  <si>
    <t>Air Pollution Control</t>
  </si>
  <si>
    <t>Blinds Repairing &amp; Cleaning</t>
  </si>
  <si>
    <t>Building Cleaning Exterior</t>
  </si>
  <si>
    <t>Building Maintenance</t>
  </si>
  <si>
    <t>Carpet &amp; Rug Cleaning Equipment &amp; Supplies Retail</t>
  </si>
  <si>
    <t>Carpet &amp; Rug Dyers</t>
  </si>
  <si>
    <t>Carpet &amp; Rug Repair</t>
  </si>
  <si>
    <t>Carpet Rug &amp; Upholstery Cleaners</t>
  </si>
  <si>
    <t>Carpet Rug &amp; Upholstery Cleaning Equipment Rental</t>
  </si>
  <si>
    <t>Ceiling Cleaning</t>
  </si>
  <si>
    <t>Chemical Cleaning Industrial</t>
  </si>
  <si>
    <t>Chimney &amp; Fireplace Cleaning &amp; Repairing</t>
  </si>
  <si>
    <t>Cleaners &amp; Dyers Equipment</t>
  </si>
  <si>
    <t>Cleaning Equipment &amp; Supplies</t>
  </si>
  <si>
    <t>Cleaning House &amp; Office</t>
  </si>
  <si>
    <t>Cleaning Service Industrial</t>
  </si>
  <si>
    <t>Cleaning Service Pressure Chemical Industrial Etc</t>
  </si>
  <si>
    <t>Cleaning Systems Pressure Chemical Etc</t>
  </si>
  <si>
    <t>Deck Cleaning &amp; Treatment</t>
  </si>
  <si>
    <t>Drapery &amp; Curtain Cleaners</t>
  </si>
  <si>
    <t>Dryer Vent Cleaning</t>
  </si>
  <si>
    <t>Duct Cleaning</t>
  </si>
  <si>
    <t>Flood Assistance</t>
  </si>
  <si>
    <t>Floor Machines Retail</t>
  </si>
  <si>
    <t>Floor Waxing Polishing &amp; Cleaning</t>
  </si>
  <si>
    <t>Graffiti Removal &amp; Protection Services</t>
  </si>
  <si>
    <t>House Cleaning Services</t>
  </si>
  <si>
    <t>Janitors Service</t>
  </si>
  <si>
    <t>Maids &amp; Butlers Services</t>
  </si>
  <si>
    <t>Mold Inspection &amp; Remediation</t>
  </si>
  <si>
    <t>Odor Control Household &amp; Commercial</t>
  </si>
  <si>
    <t>Office Cleaning Service</t>
  </si>
  <si>
    <t>Power Washing Service</t>
  </si>
  <si>
    <t>Pressure Washing Service</t>
  </si>
  <si>
    <t>Restaurant Cleaning Service</t>
  </si>
  <si>
    <t>Soap &amp; Detergents Retail</t>
  </si>
  <si>
    <t>Steam Cleaning Equipment</t>
  </si>
  <si>
    <t>Window Cleaning</t>
  </si>
  <si>
    <t>Wiping Cloths</t>
  </si>
  <si>
    <t>Interior Designers &amp; Decorators</t>
  </si>
  <si>
    <t>Color Consultants</t>
  </si>
  <si>
    <t>Decorating Contractors</t>
  </si>
  <si>
    <t>Decoration Services Party Convention Etc</t>
  </si>
  <si>
    <t>Feng Shui Products &amp; Services</t>
  </si>
  <si>
    <t>Interior Decorators &amp; Designers</t>
  </si>
  <si>
    <t>Plants Interior Design &amp; Maintenance</t>
  </si>
  <si>
    <t>Glass Products &amp; Services</t>
  </si>
  <si>
    <t>Door Repairing</t>
  </si>
  <si>
    <t>Glass Beveled Carved Ornamental Etc</t>
  </si>
  <si>
    <t>Glass Blowing</t>
  </si>
  <si>
    <t>Glass Coating &amp; Tinting</t>
  </si>
  <si>
    <t>Glass Repair</t>
  </si>
  <si>
    <t>Glass Stained Leaded Etc</t>
  </si>
  <si>
    <t>Glass Wholesale &amp; Manufacturers</t>
  </si>
  <si>
    <t>Optical Goods Wholesale &amp; Manufacturers</t>
  </si>
  <si>
    <t>Screen Repairing</t>
  </si>
  <si>
    <t>Shutters</t>
  </si>
  <si>
    <t>Skylights</t>
  </si>
  <si>
    <t>Storm Windows &amp; Doors Sales &amp; Repair</t>
  </si>
  <si>
    <t>Window Installation &amp; Sales</t>
  </si>
  <si>
    <t>Window Tinting Materials</t>
  </si>
  <si>
    <t>Windows</t>
  </si>
  <si>
    <t>Windows Aluminum &amp; Metal</t>
  </si>
  <si>
    <t>Windows Vinyl</t>
  </si>
  <si>
    <t>Windows Wholesale &amp; Manufacturers</t>
  </si>
  <si>
    <t>Windows Wood</t>
  </si>
  <si>
    <t>Health &amp; Fitness Clubs</t>
  </si>
  <si>
    <t>Day Spas</t>
  </si>
  <si>
    <t>Exercise &amp; Physical Fitness Programs</t>
  </si>
  <si>
    <t>Fitness Centers</t>
  </si>
  <si>
    <t>Gymnasiums</t>
  </si>
  <si>
    <t>Health Fitness &amp; Nutrition Consultants</t>
  </si>
  <si>
    <t>Personal Fitness Trainers</t>
  </si>
  <si>
    <t>Physical Fitness Consultants &amp; Trainers</t>
  </si>
  <si>
    <t>Spas Beauty &amp; Day</t>
  </si>
  <si>
    <t>Health Clubs</t>
  </si>
  <si>
    <t>Broadcasting &amp; Media Production</t>
  </si>
  <si>
    <t>Motion Picture Equipment &amp; Supplies</t>
  </si>
  <si>
    <t>Motion Picture Equipment &amp; Supplies Renting</t>
  </si>
  <si>
    <t>Radio Stations &amp; Broadcasting Companies</t>
  </si>
  <si>
    <t>Television Stations &amp; Broadcasting Companies</t>
  </si>
  <si>
    <t>Time &amp; Temperature Announcements</t>
  </si>
  <si>
    <t>Video Taping &amp; Production Services</t>
  </si>
  <si>
    <t>Weather Forecast Service</t>
  </si>
  <si>
    <t>Cabinets &amp; Countertops</t>
  </si>
  <si>
    <t>Cabinet Makers</t>
  </si>
  <si>
    <t>Cabinets Refacing &amp; Resurfacing</t>
  </si>
  <si>
    <t>Cabinets Retail</t>
  </si>
  <si>
    <t>Counter Tops</t>
  </si>
  <si>
    <t>Kitchen Cabinets &amp; Accessories</t>
  </si>
  <si>
    <t>Kitchen Cabinets &amp; Equipment Wholesale &amp; Manufacturers</t>
  </si>
  <si>
    <t>Automobile - Wash &amp; Detailing</t>
  </si>
  <si>
    <t>Automobile Detailing &amp; Clean Up Service</t>
  </si>
  <si>
    <t>Car Washing &amp; Polishing</t>
  </si>
  <si>
    <t>Truck Washing &amp; Cleaning</t>
  </si>
  <si>
    <t>Golf Courses &amp; Ranges</t>
  </si>
  <si>
    <t>Golf</t>
  </si>
  <si>
    <t>Golf Course &amp; Putting Green Construction</t>
  </si>
  <si>
    <t>Golf Courses Public</t>
  </si>
  <si>
    <t>Golf Driving Ranges</t>
  </si>
  <si>
    <t>Tanning Salons</t>
  </si>
  <si>
    <t>Tanning Salons Equipment &amp; Supplies Retail</t>
  </si>
  <si>
    <t>Housewares &amp; Home Decor</t>
  </si>
  <si>
    <t>Barbecue Equipment &amp; Supplies Dealers</t>
  </si>
  <si>
    <t>Bathroom Accessories</t>
  </si>
  <si>
    <t>Bedding</t>
  </si>
  <si>
    <t>Blinds</t>
  </si>
  <si>
    <t>Candles Retail</t>
  </si>
  <si>
    <t>Candles Wholesale &amp; Manufacturers</t>
  </si>
  <si>
    <t>Chinaware &amp; Glassware Repairing</t>
  </si>
  <si>
    <t>Chinaware &amp; Glassware Retail</t>
  </si>
  <si>
    <t>Christmas Lights &amp; Decorations Retail</t>
  </si>
  <si>
    <t>Cushions</t>
  </si>
  <si>
    <t>Cutlery</t>
  </si>
  <si>
    <t>Display Fixtures &amp; Materials</t>
  </si>
  <si>
    <t>Draperies &amp; Curtains Retail &amp; Custom Made</t>
  </si>
  <si>
    <t>Draperies Wholesale &amp; Manufacturers</t>
  </si>
  <si>
    <t>Drapery Installation Service</t>
  </si>
  <si>
    <t>Gas Logs</t>
  </si>
  <si>
    <t>Gourmet Shops</t>
  </si>
  <si>
    <t>Housewares</t>
  </si>
  <si>
    <t>Housewares Wholesale &amp; Manufacturers</t>
  </si>
  <si>
    <t>Lamps &amp; Lamp Shades Retail</t>
  </si>
  <si>
    <t>Linens Retail</t>
  </si>
  <si>
    <t>Mirrors</t>
  </si>
  <si>
    <t>Picture Frame Dealers</t>
  </si>
  <si>
    <t>Picture Frame Restoring &amp; Repairing</t>
  </si>
  <si>
    <t>Picture Frames Wholesale &amp; Manufacturers</t>
  </si>
  <si>
    <t>Picture Framing</t>
  </si>
  <si>
    <t>Pictures</t>
  </si>
  <si>
    <t>Plants Renting &amp; Leasing</t>
  </si>
  <si>
    <t>Pottery Retail</t>
  </si>
  <si>
    <t>Pottery Wholesale &amp; Manufacturers</t>
  </si>
  <si>
    <t>Shelving</t>
  </si>
  <si>
    <t>Slip Covers</t>
  </si>
  <si>
    <t>Store Fixtures</t>
  </si>
  <si>
    <t>Wallpaper &amp; Wallcoverings Retail</t>
  </si>
  <si>
    <t>Wallpaper &amp; Wallcoverings Wholesale &amp; Manufacturers</t>
  </si>
  <si>
    <t>Wallpaper Hangers &amp; Removing</t>
  </si>
  <si>
    <t>Wicker Products</t>
  </si>
  <si>
    <t>Window Covering Dealers</t>
  </si>
  <si>
    <t>Window Covering Repair &amp; Clean</t>
  </si>
  <si>
    <t>Window Coverings Wholesale</t>
  </si>
  <si>
    <t>Window Shades Retail</t>
  </si>
  <si>
    <t>Window Treatments</t>
  </si>
  <si>
    <t>Home Improvement &amp; Remodeling Services</t>
  </si>
  <si>
    <t>Access Systems</t>
  </si>
  <si>
    <t>Acoustical Contractors</t>
  </si>
  <si>
    <t>Air Purifying &amp; Cleaning Equipment</t>
  </si>
  <si>
    <t>Altering &amp; Remodeling Contractors</t>
  </si>
  <si>
    <t>Architects Supplies</t>
  </si>
  <si>
    <t>Asphalt &amp; Asphalt Products</t>
  </si>
  <si>
    <t>Bathroom Remodeling</t>
  </si>
  <si>
    <t>Bathtub &amp; Sink Repairing &amp; Refinishing</t>
  </si>
  <si>
    <t>Board-up Services</t>
  </si>
  <si>
    <t>Boilers Repairing Cleaning &amp; Installation</t>
  </si>
  <si>
    <t>Brick Clay Common &amp; Face</t>
  </si>
  <si>
    <t>Brick Common Face Etc</t>
  </si>
  <si>
    <t>Brush Manufacturer Equipment &amp; Supplies</t>
  </si>
  <si>
    <t>Building Metal</t>
  </si>
  <si>
    <t>Building Specialties</t>
  </si>
  <si>
    <t>Buildings Pre Cut Prefabricated &amp; Modular</t>
  </si>
  <si>
    <t>Caulking Contractors</t>
  </si>
  <si>
    <t>Ceiling Materials</t>
  </si>
  <si>
    <t>Cement Retail</t>
  </si>
  <si>
    <t>Clean Rooms Installation &amp; Equipment</t>
  </si>
  <si>
    <t>Cleaners Exterior</t>
  </si>
  <si>
    <t>Closet Accessories</t>
  </si>
  <si>
    <t>Closet Designing &amp; Remodeling</t>
  </si>
  <si>
    <t>Concrete Construction Forms &amp; Accessories</t>
  </si>
  <si>
    <t>Concrete Products</t>
  </si>
  <si>
    <t>Concrete Ready Mixed</t>
  </si>
  <si>
    <t>Construction Clean Up Service</t>
  </si>
  <si>
    <t>Drilling &amp; Boring Contractors</t>
  </si>
  <si>
    <t>Dust Collecting Equipment &amp; Systems</t>
  </si>
  <si>
    <t>Energy Conservation Products &amp; Services</t>
  </si>
  <si>
    <t>Fireproofing &amp; Firestopping</t>
  </si>
  <si>
    <t>Gravel</t>
  </si>
  <si>
    <t>Greenhouses</t>
  </si>
  <si>
    <t>Grinding Machines &amp; Equipment</t>
  </si>
  <si>
    <t>Gutter &amp; Downspout Cleaning</t>
  </si>
  <si>
    <t>Home Automation Systems &amp; Services</t>
  </si>
  <si>
    <t>Home Improvement Service</t>
  </si>
  <si>
    <t>Home Repair &amp; Maintenance</t>
  </si>
  <si>
    <t>Hose &amp; Tubing</t>
  </si>
  <si>
    <t>Kitchen Planning &amp; Remodeling Service</t>
  </si>
  <si>
    <t>Lead Detection &amp; Removal</t>
  </si>
  <si>
    <t>Lime</t>
  </si>
  <si>
    <t>Machinery Movers &amp; Erectors</t>
  </si>
  <si>
    <t>Mailboxes</t>
  </si>
  <si>
    <t>Mechanical Contractors</t>
  </si>
  <si>
    <t>Metal Working Machinery</t>
  </si>
  <si>
    <t>Ornamental Metal Work</t>
  </si>
  <si>
    <t>Parking Area Maintenance &amp; Marking</t>
  </si>
  <si>
    <t>Pavement &amp; Floor Marking Services</t>
  </si>
  <si>
    <t>Pipe &amp; Leak Locating</t>
  </si>
  <si>
    <t>Piping Contractors</t>
  </si>
  <si>
    <t>Porcelain Enamel Repair &amp; Refinish</t>
  </si>
  <si>
    <t>Pumping Contractors</t>
  </si>
  <si>
    <t>Pumps Household Installation &amp; Service</t>
  </si>
  <si>
    <t>Pumps Service &amp; Repair</t>
  </si>
  <si>
    <t>Recorded Information</t>
  </si>
  <si>
    <t>Remodeling &amp; Repairing Building Contractors</t>
  </si>
  <si>
    <t>Riggers</t>
  </si>
  <si>
    <t>Rocks</t>
  </si>
  <si>
    <t>Rope</t>
  </si>
  <si>
    <t>Sand</t>
  </si>
  <si>
    <t>Sandblasting</t>
  </si>
  <si>
    <t>Scales Public</t>
  </si>
  <si>
    <t>Sealcoating</t>
  </si>
  <si>
    <t>Sheds</t>
  </si>
  <si>
    <t>Shoring Contractors</t>
  </si>
  <si>
    <t>Solar Energy Contractors</t>
  </si>
  <si>
    <t>Solar Energy Equipment &amp; Systems</t>
  </si>
  <si>
    <t>Stair Builders</t>
  </si>
  <si>
    <t>Steam Cleaning Commercial &amp; Industrial</t>
  </si>
  <si>
    <t>Steel Detailers</t>
  </si>
  <si>
    <t>Steel Erectors</t>
  </si>
  <si>
    <t>Stone Cast</t>
  </si>
  <si>
    <t>Stone Crushed</t>
  </si>
  <si>
    <t>Stone Natural</t>
  </si>
  <si>
    <t>Tile Dealers Retail</t>
  </si>
  <si>
    <t>Vacuum Cleaning Systems</t>
  </si>
  <si>
    <t>Valves &amp; Fittings</t>
  </si>
  <si>
    <t>Waterproofing Contractors Residential</t>
  </si>
  <si>
    <t>Windows Repair &amp; Replacement</t>
  </si>
  <si>
    <t>Cable &amp; Satellite Equipment &amp; Services</t>
  </si>
  <si>
    <t>Satellite Equipment &amp; Systems Repair &amp; Service</t>
  </si>
  <si>
    <t>Consultants - Business</t>
  </si>
  <si>
    <t>Business Consultants</t>
  </si>
  <si>
    <t>Business Management Services</t>
  </si>
  <si>
    <t>Business Plan Bureaus</t>
  </si>
  <si>
    <t>Consultants</t>
  </si>
  <si>
    <t>Executive Search Consultants</t>
  </si>
  <si>
    <t>Holding Companies</t>
  </si>
  <si>
    <t>Management Consultants</t>
  </si>
  <si>
    <t>Miscellaneous Business Services</t>
  </si>
  <si>
    <t>Construction Supplies &amp; Services</t>
  </si>
  <si>
    <t>Barricades</t>
  </si>
  <si>
    <t>Building Materials &amp; Supplies</t>
  </si>
  <si>
    <t>Building Materials Wholesale &amp; Manufacturers</t>
  </si>
  <si>
    <t>Cement Wholesale &amp; Manufacturers</t>
  </si>
  <si>
    <t>Construction Consultants</t>
  </si>
  <si>
    <t>Contractor Equipment &amp; Supplies Renting &amp; Leasing</t>
  </si>
  <si>
    <t>Contractor Equipment &amp; Supplies Repairing</t>
  </si>
  <si>
    <t>Dock Builders</t>
  </si>
  <si>
    <t>Door &amp; Gate Operating Devices</t>
  </si>
  <si>
    <t>Doors &amp; Door Frames</t>
  </si>
  <si>
    <t>Doors Retail</t>
  </si>
  <si>
    <t>Doors Wholesale &amp; Manufacturers</t>
  </si>
  <si>
    <t>Fence Wholesale &amp; Manufacturers</t>
  </si>
  <si>
    <t>Fire Protection Equipment &amp; Supplies</t>
  </si>
  <si>
    <t>Gate Operating Devices</t>
  </si>
  <si>
    <t>Glass Block Retail</t>
  </si>
  <si>
    <t>Granite</t>
  </si>
  <si>
    <t>Gutters &amp; Downspouts</t>
  </si>
  <si>
    <t>Home Improvement Centers</t>
  </si>
  <si>
    <t>Industrial Developers</t>
  </si>
  <si>
    <t>Insulation Materials</t>
  </si>
  <si>
    <t>Lumber Retail</t>
  </si>
  <si>
    <t>Lumber Wholesale</t>
  </si>
  <si>
    <t>Marble Cultured</t>
  </si>
  <si>
    <t>Marble Natural</t>
  </si>
  <si>
    <t>Millwork</t>
  </si>
  <si>
    <t>Moldings</t>
  </si>
  <si>
    <t>Moulding</t>
  </si>
  <si>
    <t>Pallets &amp; Skids</t>
  </si>
  <si>
    <t>Pile Driving Contractors</t>
  </si>
  <si>
    <t>Plywood &amp; Veneers</t>
  </si>
  <si>
    <t>Railings</t>
  </si>
  <si>
    <t>Railroad Ties Dealers</t>
  </si>
  <si>
    <t>Roofing Materials</t>
  </si>
  <si>
    <t>Roofing Materials Wholesale &amp; Manufacturers</t>
  </si>
  <si>
    <t>Safety Equipment</t>
  </si>
  <si>
    <t>Scaffolding &amp; Aerial Lifts</t>
  </si>
  <si>
    <t>Screens Door &amp; Window</t>
  </si>
  <si>
    <t>Security Control Equipment Systems &amp; Monitoring</t>
  </si>
  <si>
    <t>Ship Builders &amp; Repairers</t>
  </si>
  <si>
    <t>Siding Materials Retail</t>
  </si>
  <si>
    <t>Siding Materials Wholesale &amp; Manufacturers</t>
  </si>
  <si>
    <t>Sprinklers Automatic Fire Etc</t>
  </si>
  <si>
    <t>Stucco Manufacturers &amp; Distributors</t>
  </si>
  <si>
    <t>Tennis Court Contractors</t>
  </si>
  <si>
    <t>Tile Ceramic Wholesale &amp; Manufacturers</t>
  </si>
  <si>
    <t>Trusses Construction</t>
  </si>
  <si>
    <t>Wood Products</t>
  </si>
  <si>
    <t>Hospitals, Clinics &amp; Medical Centers</t>
  </si>
  <si>
    <t>Alcoholism Information &amp; Treatment Centers</t>
  </si>
  <si>
    <t>Clinics Medical</t>
  </si>
  <si>
    <t>Family Planning Information Centers</t>
  </si>
  <si>
    <t>Hospitals</t>
  </si>
  <si>
    <t>Medical Centers</t>
  </si>
  <si>
    <t>Occupational Safety &amp; Health Services</t>
  </si>
  <si>
    <t>Outpatient Services</t>
  </si>
  <si>
    <t>Smokers Information &amp; Treatment Centers</t>
  </si>
  <si>
    <t>Arcades</t>
  </si>
  <si>
    <t>Camps &amp; Training</t>
  </si>
  <si>
    <t>Computer Training &amp; Instruction</t>
  </si>
  <si>
    <t>Driver Improvement Training</t>
  </si>
  <si>
    <t>Drivers License Examination</t>
  </si>
  <si>
    <t>Driving Instruction Courses</t>
  </si>
  <si>
    <t>Rock Climbing Instruction</t>
  </si>
  <si>
    <t>Schools Trucking</t>
  </si>
  <si>
    <t>Skating Instruction</t>
  </si>
  <si>
    <t>Swimming Instruction</t>
  </si>
  <si>
    <t>Tennis Instructions</t>
  </si>
  <si>
    <t>Traffic Schools</t>
  </si>
  <si>
    <t>Cemeteries</t>
  </si>
  <si>
    <t>Cemeteries &amp; Memorial Parks</t>
  </si>
  <si>
    <t>Contractors - Insulation</t>
  </si>
  <si>
    <t>Acoustical Materials</t>
  </si>
  <si>
    <t>Fiberglass Products</t>
  </si>
  <si>
    <t>Insulation Contractors</t>
  </si>
  <si>
    <t>Electronics - Printers</t>
  </si>
  <si>
    <t>Printers</t>
  </si>
  <si>
    <t>Printers Business Forms</t>
  </si>
  <si>
    <t>Printers Commercial</t>
  </si>
  <si>
    <t>Food &amp; Beverage Vendors</t>
  </si>
  <si>
    <t>Bottlers</t>
  </si>
  <si>
    <t>Candy &amp; Confectionery Wholesale &amp; Manufacturers</t>
  </si>
  <si>
    <t>Cheese Wholesale &amp; Manufacturers</t>
  </si>
  <si>
    <t>Fish &amp; Seafood Brokers</t>
  </si>
  <si>
    <t>Fish &amp; Seafood Wholesale</t>
  </si>
  <si>
    <t>Food Brokers</t>
  </si>
  <si>
    <t>Food Processing Consultants</t>
  </si>
  <si>
    <t>Frozen Foods Wholesale</t>
  </si>
  <si>
    <t>Ice Cream &amp; Frozen Desserts Manufacturers &amp; Distributors</t>
  </si>
  <si>
    <t>Meat Processing</t>
  </si>
  <si>
    <t>Produce Wholesale</t>
  </si>
  <si>
    <t>Rendering Companies</t>
  </si>
  <si>
    <t>Government Services</t>
  </si>
  <si>
    <t>Armed Forces</t>
  </si>
  <si>
    <t>Community Service Agencies</t>
  </si>
  <si>
    <t>Congressional Representatives</t>
  </si>
  <si>
    <t>Economic Development Organizations</t>
  </si>
  <si>
    <t>Educational Cooperative Organizations</t>
  </si>
  <si>
    <t>Government Contractors</t>
  </si>
  <si>
    <t>Indian Affairs</t>
  </si>
  <si>
    <t>Legislators</t>
  </si>
  <si>
    <t>License Services</t>
  </si>
  <si>
    <t>Lobbyists</t>
  </si>
  <si>
    <t>Miscellaneous Government Services</t>
  </si>
  <si>
    <t>Social Security Services</t>
  </si>
  <si>
    <t>Workers Compensation Service &amp; Consulting</t>
  </si>
  <si>
    <t>Graveside Monuments</t>
  </si>
  <si>
    <t>Monuments</t>
  </si>
  <si>
    <t>Statuary</t>
  </si>
  <si>
    <t>Inspection Services</t>
  </si>
  <si>
    <t>Air Quality Measuring Service</t>
  </si>
  <si>
    <t>Asbestos Inspection Removal &amp; Consulting Services</t>
  </si>
  <si>
    <t>Building Inspection Service</t>
  </si>
  <si>
    <t>Home Inspection Service</t>
  </si>
  <si>
    <t>Inspection Service</t>
  </si>
  <si>
    <t>Radon Testing &amp; Remediation Services</t>
  </si>
  <si>
    <t>Marinas</t>
  </si>
  <si>
    <t>Marine Service Stations</t>
  </si>
  <si>
    <t>Physicians - Proctology</t>
  </si>
  <si>
    <t>Physicians &amp; Surgeons Proctology</t>
  </si>
  <si>
    <t>Radio Communication Equipment</t>
  </si>
  <si>
    <t>Audio Visual Equipment Wholesale &amp; Manufacturers</t>
  </si>
  <si>
    <t>Intercommunication Equipment &amp; Systems</t>
  </si>
  <si>
    <t>Metal Detecting Equipment</t>
  </si>
  <si>
    <t>Radio Communication Equipment &amp; Systems</t>
  </si>
  <si>
    <t>Radios Citizens Band Retail</t>
  </si>
  <si>
    <t>Swimming Pool Maintenance &amp; Services</t>
  </si>
  <si>
    <t>Spas &amp; Hot Tubs Service &amp; Repair</t>
  </si>
  <si>
    <t>Swimming Pool Service &amp; Repair</t>
  </si>
  <si>
    <t>Variety Stores</t>
  </si>
  <si>
    <t>Wildlife Sanctuaries</t>
  </si>
  <si>
    <t>Physicians - Anesthesiology</t>
  </si>
  <si>
    <t>Physicians &amp; Surgeons Anesthesiology</t>
  </si>
  <si>
    <t>Physicians - Radiology</t>
  </si>
  <si>
    <t>Physicians &amp; Surgeons Radiology</t>
  </si>
  <si>
    <t>Physicians - Fertility &amp; Sterility</t>
  </si>
  <si>
    <t>Physicians &amp; Surgeons Sterility &amp; Fertility</t>
  </si>
  <si>
    <t>Portable Buildings</t>
  </si>
  <si>
    <t>Mezzanines &amp; Platforms</t>
  </si>
  <si>
    <t>Mobile Office &amp; Commercial Units</t>
  </si>
  <si>
    <t>Modular Buildings Offices &amp; Homes</t>
  </si>
  <si>
    <t>Towers</t>
  </si>
  <si>
    <t>Repair Services</t>
  </si>
  <si>
    <t>Miscellaneous Repair Services</t>
  </si>
  <si>
    <t>Writing Services</t>
  </si>
  <si>
    <t>Calligraphers</t>
  </si>
  <si>
    <t>Editorial Services</t>
  </si>
  <si>
    <t>Resume Service</t>
  </si>
  <si>
    <t>Technical Manual Preparation</t>
  </si>
  <si>
    <t>Writers General</t>
  </si>
  <si>
    <t>Textiles</t>
  </si>
  <si>
    <t>Linens Wholesale &amp; Manufacturers</t>
  </si>
  <si>
    <t>Sailmakers</t>
  </si>
  <si>
    <t>Fireworks</t>
  </si>
  <si>
    <t>Biotechnology</t>
  </si>
  <si>
    <t>Biotechnology Products &amp; Services</t>
  </si>
  <si>
    <t>Caretakers</t>
  </si>
  <si>
    <t>House Sitter Service</t>
  </si>
  <si>
    <t>Research Services</t>
  </si>
  <si>
    <t>Genealogists</t>
  </si>
  <si>
    <t>Handwriting Experts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</si>
</sst>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0.0"/>
      <color theme="1"/>
      <name val="Calibri"/>
    </font>
    <font>
      <color theme="1"/>
      <name val="Calibri"/>
    </font>
    <font>
      <sz val="10.0"/>
      <color theme="1"/>
      <name val="Calibri"/>
    </font>
    <font>
      <color theme="1"/>
      <name val="Arial"/>
    </font>
    <font>
      <u/>
      <sz val="10.0"/>
      <color rgb="FF0000FF"/>
      <name val="Calibri"/>
    </font>
    <font>
      <b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/>
    </xf>
    <xf borderId="1" fillId="0" fontId="2" numFmtId="0" xfId="0" applyAlignment="1" applyBorder="1" applyFont="1">
      <alignment horizontal="right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2" numFmtId="0" xfId="0" applyBorder="1" applyFont="1"/>
    <xf borderId="0" fillId="0" fontId="6" numFmtId="0" xfId="0" applyAlignment="1" applyFont="1">
      <alignment readingOrder="0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1-800-flowers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.43"/>
    <col customWidth="1" min="2" max="2" width="27.29"/>
    <col hidden="1" min="4" max="6" width="14.4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3" t="s">
        <v>8</v>
      </c>
      <c r="J1" s="4"/>
      <c r="K1" s="4"/>
      <c r="L1" s="4"/>
      <c r="M1" s="4"/>
      <c r="N1" s="4"/>
      <c r="O1" s="4"/>
      <c r="P1" s="4"/>
      <c r="Q1" s="4"/>
    </row>
    <row r="2">
      <c r="A2" s="5">
        <v>1.0</v>
      </c>
      <c r="B2" s="5" t="s">
        <v>9</v>
      </c>
      <c r="C2" s="5" t="s">
        <v>10</v>
      </c>
      <c r="D2" s="6">
        <f>IFERROR(__xludf.DUMMYFUNCTION("SPLIT(MID(C2,2,LEN(C2)-2), "","")"),1168.0)</f>
        <v>1168</v>
      </c>
      <c r="E2" s="7"/>
      <c r="F2" s="7"/>
      <c r="G2" s="2" t="str">
        <f t="array" ref="G2">IF(ISBLANK(D2), "", INDEX(Categories!$B:$B,MATCH(D2,Categories!$A:$A,0)))</f>
        <v>Convenience Stores</v>
      </c>
      <c r="H2" s="7" t="str">
        <f t="array" ref="H2">IF(ISBLANK(E2), "", INDEX(Categories!$B:$B,MATCH(E2,Categories!$A:$A,0)))</f>
        <v/>
      </c>
      <c r="I2" s="7" t="str">
        <f t="array" ref="I2">IF(ISBLANK(F2), "", INDEX(Categories!$B:$B,MATCH(F2,Categories!$A:$A,0)))</f>
        <v/>
      </c>
      <c r="J2" s="4"/>
      <c r="K2" s="4"/>
      <c r="L2" s="4"/>
      <c r="M2" s="4"/>
      <c r="N2" s="4"/>
      <c r="O2" s="4"/>
      <c r="P2" s="4"/>
      <c r="Q2" s="4"/>
    </row>
    <row r="3">
      <c r="A3" s="5">
        <v>2.0</v>
      </c>
      <c r="B3" s="5" t="s">
        <v>11</v>
      </c>
      <c r="C3" s="5" t="s">
        <v>12</v>
      </c>
      <c r="D3" s="6">
        <f>IFERROR(__xludf.DUMMYFUNCTION("SPLIT(MID(C3,2,LEN(C3)-2), "","")"),469.0)</f>
        <v>469</v>
      </c>
      <c r="E3" s="7"/>
      <c r="F3" s="7"/>
      <c r="G3" s="2" t="str">
        <f t="array" ref="G3">IF(ISBLANK(D3), "", INDEX(Categories!$B:$B,MATCH(D3,Categories!$A:$A,0)))</f>
        <v>Automobile - Repairs &amp; Services</v>
      </c>
      <c r="H3" s="7" t="str">
        <f t="array" ref="H3">IF(ISBLANK(E3), "", INDEX(Categories!$B:$B,MATCH(E3,Categories!$A:$A,0)))</f>
        <v/>
      </c>
      <c r="I3" s="7" t="str">
        <f t="array" ref="I3">IF(ISBLANK(F3), "", INDEX(Categories!$B:$B,MATCH(F3,Categories!$A:$A,0)))</f>
        <v/>
      </c>
      <c r="J3" s="4"/>
      <c r="K3" s="4"/>
      <c r="L3" s="4"/>
      <c r="M3" s="4"/>
      <c r="N3" s="4"/>
      <c r="O3" s="4"/>
      <c r="P3" s="4"/>
      <c r="Q3" s="4"/>
    </row>
    <row r="4">
      <c r="A4" s="5">
        <v>3.0</v>
      </c>
      <c r="B4" s="5" t="s">
        <v>13</v>
      </c>
      <c r="C4" s="5" t="s">
        <v>14</v>
      </c>
      <c r="D4" s="6">
        <f>IFERROR(__xludf.DUMMYFUNCTION("SPLIT(MID(C4,2,LEN(C4)-2), "","")"),1065.0)</f>
        <v>1065</v>
      </c>
      <c r="E4" s="7"/>
      <c r="F4" s="7"/>
      <c r="G4" s="2" t="str">
        <f t="array" ref="G4">IF(ISBLANK(D4), "", INDEX(Categories!$B:$B,MATCH(D4,Categories!$A:$A,0)))</f>
        <v>Hardware</v>
      </c>
      <c r="H4" s="7" t="str">
        <f t="array" ref="H4">IF(ISBLANK(E4), "", INDEX(Categories!$B:$B,MATCH(E4,Categories!$A:$A,0)))</f>
        <v/>
      </c>
      <c r="I4" s="7" t="str">
        <f t="array" ref="I4">IF(ISBLANK(F4), "", INDEX(Categories!$B:$B,MATCH(F4,Categories!$A:$A,0)))</f>
        <v/>
      </c>
      <c r="J4" s="4"/>
      <c r="K4" s="4"/>
      <c r="L4" s="4"/>
      <c r="M4" s="4"/>
      <c r="N4" s="4"/>
      <c r="O4" s="4"/>
      <c r="P4" s="4"/>
      <c r="Q4" s="4"/>
    </row>
    <row r="5">
      <c r="A5" s="5">
        <v>4.0</v>
      </c>
      <c r="B5" s="5" t="s">
        <v>15</v>
      </c>
      <c r="C5" s="5" t="s">
        <v>16</v>
      </c>
      <c r="D5" s="6">
        <f>IFERROR(__xludf.DUMMYFUNCTION("SPLIT(MID(C5,2,LEN(C5)-2), "","")"),51.0)</f>
        <v>51</v>
      </c>
      <c r="E5" s="7"/>
      <c r="F5" s="7"/>
      <c r="G5" s="2" t="str">
        <f t="array" ref="G5">IF(ISBLANK(D5), "", INDEX(Categories!$B:$B,MATCH(D5,Categories!$A:$A,0)))</f>
        <v>Automobile Parts &amp; Supplies</v>
      </c>
      <c r="H5" s="7" t="str">
        <f t="array" ref="H5">IF(ISBLANK(E5), "", INDEX(Categories!$B:$B,MATCH(E5,Categories!$A:$A,0)))</f>
        <v/>
      </c>
      <c r="I5" s="7" t="str">
        <f t="array" ref="I5">IF(ISBLANK(F5), "", INDEX(Categories!$B:$B,MATCH(F5,Categories!$A:$A,0)))</f>
        <v/>
      </c>
      <c r="J5" s="4"/>
      <c r="K5" s="4"/>
      <c r="L5" s="4"/>
      <c r="M5" s="4"/>
      <c r="N5" s="4"/>
      <c r="O5" s="4"/>
      <c r="P5" s="4"/>
      <c r="Q5" s="4"/>
    </row>
    <row r="6">
      <c r="A6" s="5">
        <v>5.0</v>
      </c>
      <c r="B6" s="5" t="s">
        <v>17</v>
      </c>
      <c r="C6" s="5" t="s">
        <v>18</v>
      </c>
      <c r="D6" s="6">
        <f>IFERROR(__xludf.DUMMYFUNCTION("SPLIT(MID(C6,2,LEN(C6)-2), "","")"),121.0)</f>
        <v>121</v>
      </c>
      <c r="E6" s="7"/>
      <c r="F6" s="7"/>
      <c r="G6" s="2" t="str">
        <f t="array" ref="G6">IF(ISBLANK(D6), "", INDEX(Categories!$B:$B,MATCH(D6,Categories!$A:$A,0)))</f>
        <v>Insurance</v>
      </c>
      <c r="H6" s="7" t="str">
        <f t="array" ref="H6">IF(ISBLANK(E6), "", INDEX(Categories!$B:$B,MATCH(E6,Categories!$A:$A,0)))</f>
        <v/>
      </c>
      <c r="I6" s="7" t="str">
        <f t="array" ref="I6">IF(ISBLANK(F6), "", INDEX(Categories!$B:$B,MATCH(F6,Categories!$A:$A,0)))</f>
        <v/>
      </c>
      <c r="J6" s="4"/>
      <c r="K6" s="4"/>
      <c r="L6" s="4"/>
      <c r="M6" s="4"/>
      <c r="N6" s="4"/>
      <c r="O6" s="4"/>
      <c r="P6" s="4"/>
      <c r="Q6" s="4"/>
    </row>
    <row r="7">
      <c r="A7" s="5">
        <v>6.0</v>
      </c>
      <c r="B7" s="5" t="s">
        <v>19</v>
      </c>
      <c r="C7" s="5" t="s">
        <v>20</v>
      </c>
      <c r="D7" s="6">
        <f>IFERROR(__xludf.DUMMYFUNCTION("SPLIT(MID(C7,2,LEN(C7)-2), "","")"),1213.0)</f>
        <v>1213</v>
      </c>
      <c r="E7" s="7"/>
      <c r="F7" s="7"/>
      <c r="G7" s="2" t="str">
        <f t="array" ref="G7">IF(ISBLANK(D7), "", INDEX(Categories!$B:$B,MATCH(D7,Categories!$A:$A,0)))</f>
        <v>Social Service Organizations</v>
      </c>
      <c r="H7" s="7" t="str">
        <f t="array" ref="H7">IF(ISBLANK(E7), "", INDEX(Categories!$B:$B,MATCH(E7,Categories!$A:$A,0)))</f>
        <v/>
      </c>
      <c r="I7" s="7" t="str">
        <f t="array" ref="I7">IF(ISBLANK(F7), "", INDEX(Categories!$B:$B,MATCH(F7,Categories!$A:$A,0)))</f>
        <v/>
      </c>
      <c r="J7" s="4"/>
      <c r="K7" s="4"/>
      <c r="L7" s="4"/>
      <c r="M7" s="4"/>
      <c r="N7" s="4"/>
      <c r="O7" s="4"/>
      <c r="P7" s="4"/>
      <c r="Q7" s="4"/>
    </row>
    <row r="8">
      <c r="A8" s="5">
        <v>7.0</v>
      </c>
      <c r="B8" s="5" t="s">
        <v>21</v>
      </c>
      <c r="C8" s="5" t="s">
        <v>18</v>
      </c>
      <c r="D8" s="6">
        <f>IFERROR(__xludf.DUMMYFUNCTION("SPLIT(MID(C8,2,LEN(C8)-2), "","")"),121.0)</f>
        <v>121</v>
      </c>
      <c r="E8" s="7"/>
      <c r="F8" s="7"/>
      <c r="G8" s="2" t="str">
        <f t="array" ref="G8">IF(ISBLANK(D8), "", INDEX(Categories!$B:$B,MATCH(D8,Categories!$A:$A,0)))</f>
        <v>Insurance</v>
      </c>
      <c r="H8" s="7" t="str">
        <f t="array" ref="H8">IF(ISBLANK(E8), "", INDEX(Categories!$B:$B,MATCH(E8,Categories!$A:$A,0)))</f>
        <v/>
      </c>
      <c r="I8" s="7" t="str">
        <f t="array" ref="I8">IF(ISBLANK(F8), "", INDEX(Categories!$B:$B,MATCH(F8,Categories!$A:$A,0)))</f>
        <v/>
      </c>
      <c r="J8" s="4"/>
      <c r="K8" s="4"/>
      <c r="L8" s="4"/>
      <c r="M8" s="4"/>
      <c r="N8" s="4"/>
      <c r="O8" s="4"/>
      <c r="P8" s="4"/>
      <c r="Q8" s="4"/>
    </row>
    <row r="9">
      <c r="A9" s="5">
        <v>8.0</v>
      </c>
      <c r="B9" s="5" t="s">
        <v>22</v>
      </c>
      <c r="C9" s="5" t="s">
        <v>23</v>
      </c>
      <c r="D9" s="6">
        <f>IFERROR(__xludf.DUMMYFUNCTION("SPLIT(MID(C9,2,LEN(C9)-2), "","")"),934.0)</f>
        <v>934</v>
      </c>
      <c r="E9" s="7"/>
      <c r="F9" s="7"/>
      <c r="G9" s="2" t="str">
        <f t="array" ref="G9">IF(ISBLANK(D9), "", INDEX(Categories!$B:$B,MATCH(D9,Categories!$A:$A,0)))</f>
        <v>Financing</v>
      </c>
      <c r="H9" s="7" t="str">
        <f t="array" ref="H9">IF(ISBLANK(E9), "", INDEX(Categories!$B:$B,MATCH(E9,Categories!$A:$A,0)))</f>
        <v/>
      </c>
      <c r="I9" s="7" t="str">
        <f t="array" ref="I9">IF(ISBLANK(F9), "", INDEX(Categories!$B:$B,MATCH(F9,Categories!$A:$A,0)))</f>
        <v/>
      </c>
      <c r="J9" s="4"/>
      <c r="K9" s="4"/>
      <c r="L9" s="4"/>
      <c r="M9" s="4"/>
      <c r="N9" s="4"/>
      <c r="O9" s="4"/>
      <c r="P9" s="4"/>
      <c r="Q9" s="4"/>
    </row>
    <row r="10">
      <c r="A10" s="5">
        <v>9.0</v>
      </c>
      <c r="B10" s="5" t="s">
        <v>24</v>
      </c>
      <c r="C10" s="5" t="s">
        <v>18</v>
      </c>
      <c r="D10" s="6">
        <f>IFERROR(__xludf.DUMMYFUNCTION("SPLIT(MID(C10,2,LEN(C10)-2), "","")"),121.0)</f>
        <v>121</v>
      </c>
      <c r="E10" s="7"/>
      <c r="F10" s="7"/>
      <c r="G10" s="2" t="str">
        <f t="array" ref="G10">IF(ISBLANK(D10), "", INDEX(Categories!$B:$B,MATCH(D10,Categories!$A:$A,0)))</f>
        <v>Insurance</v>
      </c>
      <c r="H10" s="7" t="str">
        <f t="array" ref="H10">IF(ISBLANK(E10), "", INDEX(Categories!$B:$B,MATCH(E10,Categories!$A:$A,0)))</f>
        <v/>
      </c>
      <c r="I10" s="7" t="str">
        <f t="array" ref="I10">IF(ISBLANK(F10), "", INDEX(Categories!$B:$B,MATCH(F10,Categories!$A:$A,0)))</f>
        <v/>
      </c>
      <c r="J10" s="4"/>
      <c r="K10" s="4"/>
      <c r="L10" s="4"/>
      <c r="M10" s="4"/>
      <c r="N10" s="4"/>
      <c r="O10" s="4"/>
      <c r="P10" s="4"/>
      <c r="Q10" s="4"/>
    </row>
    <row r="11">
      <c r="A11" s="5">
        <v>10.0</v>
      </c>
      <c r="B11" s="5" t="s">
        <v>25</v>
      </c>
      <c r="C11" s="5" t="s">
        <v>26</v>
      </c>
      <c r="D11" s="6">
        <f>IFERROR(__xludf.DUMMYFUNCTION("SPLIT(MID(C11,2,LEN(C11)-2), "","")"),2479.0)</f>
        <v>2479</v>
      </c>
      <c r="E11" s="7"/>
      <c r="F11" s="7"/>
      <c r="G11" s="2" t="str">
        <f t="array" ref="G11">IF(ISBLANK(D11), "", INDEX(Categories!$B:$B,MATCH(D11,Categories!$A:$A,0)))</f>
        <v>Organizations &amp; Associations</v>
      </c>
      <c r="H11" s="7" t="str">
        <f t="array" ref="H11">IF(ISBLANK(E11), "", INDEX(Categories!$B:$B,MATCH(E11,Categories!$A:$A,0)))</f>
        <v/>
      </c>
      <c r="I11" s="7" t="str">
        <f t="array" ref="I11">IF(ISBLANK(F11), "", INDEX(Categories!$B:$B,MATCH(F11,Categories!$A:$A,0)))</f>
        <v/>
      </c>
      <c r="J11" s="4"/>
      <c r="K11" s="4"/>
      <c r="L11" s="4"/>
      <c r="M11" s="4"/>
      <c r="N11" s="4"/>
      <c r="O11" s="4"/>
      <c r="P11" s="4"/>
      <c r="Q11" s="4"/>
    </row>
    <row r="12">
      <c r="A12" s="5">
        <v>11.0</v>
      </c>
      <c r="B12" s="5" t="s">
        <v>27</v>
      </c>
      <c r="C12" s="5" t="s">
        <v>28</v>
      </c>
      <c r="D12" s="6">
        <f>IFERROR(__xludf.DUMMYFUNCTION("SPLIT(MID(C12,2,LEN(C12)-2), "","")"),1197.0)</f>
        <v>1197</v>
      </c>
      <c r="E12" s="7"/>
      <c r="F12" s="7"/>
      <c r="G12" s="2" t="str">
        <f t="array" ref="G12">IF(ISBLANK(D12), "", INDEX(Categories!$B:$B,MATCH(D12,Categories!$A:$A,0)))</f>
        <v>Public &amp; Social Services</v>
      </c>
      <c r="H12" s="7" t="str">
        <f t="array" ref="H12">IF(ISBLANK(E12), "", INDEX(Categories!$B:$B,MATCH(E12,Categories!$A:$A,0)))</f>
        <v/>
      </c>
      <c r="I12" s="7" t="str">
        <f t="array" ref="I12">IF(ISBLANK(F12), "", INDEX(Categories!$B:$B,MATCH(F12,Categories!$A:$A,0)))</f>
        <v/>
      </c>
      <c r="J12" s="4"/>
      <c r="K12" s="4"/>
      <c r="L12" s="4"/>
      <c r="M12" s="4"/>
      <c r="N12" s="4"/>
      <c r="O12" s="4"/>
      <c r="P12" s="4"/>
      <c r="Q12" s="4"/>
    </row>
    <row r="13">
      <c r="A13" s="5">
        <v>12.0</v>
      </c>
      <c r="B13" s="5" t="s">
        <v>29</v>
      </c>
      <c r="C13" s="5" t="s">
        <v>30</v>
      </c>
      <c r="D13" s="6">
        <f>IFERROR(__xludf.DUMMYFUNCTION("SPLIT(MID(C13,2,LEN(C13)-2), "","")"),1141.0)</f>
        <v>1141</v>
      </c>
      <c r="E13" s="7"/>
      <c r="F13" s="7"/>
      <c r="G13" s="2" t="str">
        <f t="array" ref="G13">IF(ISBLANK(D13), "", INDEX(Categories!$B:$B,MATCH(D13,Categories!$A:$A,0)))</f>
        <v>Gas Liquefied Petroleum Bottled &amp; Bulk Retail</v>
      </c>
      <c r="H13" s="7" t="str">
        <f t="array" ref="H13">IF(ISBLANK(E13), "", INDEX(Categories!$B:$B,MATCH(E13,Categories!$A:$A,0)))</f>
        <v/>
      </c>
      <c r="I13" s="7" t="str">
        <f t="array" ref="I13">IF(ISBLANK(F13), "", INDEX(Categories!$B:$B,MATCH(F13,Categories!$A:$A,0)))</f>
        <v/>
      </c>
      <c r="J13" s="4"/>
      <c r="K13" s="4"/>
      <c r="L13" s="4"/>
      <c r="M13" s="4"/>
      <c r="N13" s="4"/>
      <c r="O13" s="4"/>
      <c r="P13" s="4"/>
      <c r="Q13" s="4"/>
    </row>
    <row r="14">
      <c r="A14" s="5">
        <v>13.0</v>
      </c>
      <c r="B14" s="5" t="s">
        <v>31</v>
      </c>
      <c r="C14" s="5" t="s">
        <v>32</v>
      </c>
      <c r="D14" s="6">
        <f>IFERROR(__xludf.DUMMYFUNCTION("SPLIT(MID(C14,2,LEN(C14)-2), "","")"),2631.0)</f>
        <v>2631</v>
      </c>
      <c r="E14" s="7"/>
      <c r="F14" s="7"/>
      <c r="G14" s="2" t="str">
        <f t="array" ref="G14">IF(ISBLANK(D14), "", INDEX(Categories!$B:$B,MATCH(D14,Categories!$A:$A,0)))</f>
        <v>Housewares &amp; Home Decor</v>
      </c>
      <c r="H14" s="7" t="str">
        <f t="array" ref="H14">IF(ISBLANK(E14), "", INDEX(Categories!$B:$B,MATCH(E14,Categories!$A:$A,0)))</f>
        <v/>
      </c>
      <c r="I14" s="7" t="str">
        <f t="array" ref="I14">IF(ISBLANK(F14), "", INDEX(Categories!$B:$B,MATCH(F14,Categories!$A:$A,0)))</f>
        <v/>
      </c>
      <c r="J14" s="4"/>
      <c r="K14" s="4"/>
      <c r="L14" s="4"/>
      <c r="M14" s="4"/>
      <c r="N14" s="4"/>
      <c r="O14" s="4"/>
      <c r="P14" s="4"/>
      <c r="Q14" s="4"/>
    </row>
    <row r="15">
      <c r="A15" s="5">
        <v>14.0</v>
      </c>
      <c r="B15" s="5" t="s">
        <v>33</v>
      </c>
      <c r="C15" s="5" t="s">
        <v>34</v>
      </c>
      <c r="D15" s="6">
        <f>IFERROR(__xludf.DUMMYFUNCTION("SPLIT(MID(C15,2,LEN(C15)-2), "","")"),228.0)</f>
        <v>228</v>
      </c>
      <c r="E15" s="7"/>
      <c r="F15" s="7"/>
      <c r="G15" s="2" t="str">
        <f t="array" ref="G15">IF(ISBLANK(D15), "", INDEX(Categories!$B:$B,MATCH(D15,Categories!$A:$A,0)))</f>
        <v>Restaurants</v>
      </c>
      <c r="H15" s="7" t="str">
        <f t="array" ref="H15">IF(ISBLANK(E15), "", INDEX(Categories!$B:$B,MATCH(E15,Categories!$A:$A,0)))</f>
        <v/>
      </c>
      <c r="I15" s="7" t="str">
        <f t="array" ref="I15">IF(ISBLANK(F15), "", INDEX(Categories!$B:$B,MATCH(F15,Categories!$A:$A,0)))</f>
        <v/>
      </c>
      <c r="J15" s="4"/>
      <c r="K15" s="4"/>
      <c r="L15" s="4"/>
      <c r="M15" s="4"/>
      <c r="N15" s="4"/>
      <c r="O15" s="4"/>
      <c r="P15" s="4"/>
      <c r="Q15" s="4"/>
    </row>
    <row r="16">
      <c r="A16" s="5">
        <v>15.0</v>
      </c>
      <c r="B16" s="5" t="s">
        <v>35</v>
      </c>
      <c r="C16" s="5" t="s">
        <v>36</v>
      </c>
      <c r="D16" s="6">
        <f>IFERROR(__xludf.DUMMYFUNCTION("SPLIT(MID(C16,2,LEN(C16)-2), "","")"),374.0)</f>
        <v>374</v>
      </c>
      <c r="E16" s="7"/>
      <c r="F16" s="7"/>
      <c r="G16" s="2" t="str">
        <f t="array" ref="G16">IF(ISBLANK(D16), "", INDEX(Categories!$B:$B,MATCH(D16,Categories!$A:$A,0)))</f>
        <v>Churches Assembly Of God</v>
      </c>
      <c r="H16" s="7" t="str">
        <f t="array" ref="H16">IF(ISBLANK(E16), "", INDEX(Categories!$B:$B,MATCH(E16,Categories!$A:$A,0)))</f>
        <v/>
      </c>
      <c r="I16" s="7" t="str">
        <f t="array" ref="I16">IF(ISBLANK(F16), "", INDEX(Categories!$B:$B,MATCH(F16,Categories!$A:$A,0)))</f>
        <v/>
      </c>
      <c r="J16" s="4"/>
      <c r="K16" s="4"/>
      <c r="L16" s="4"/>
      <c r="M16" s="4"/>
      <c r="N16" s="4"/>
      <c r="O16" s="4"/>
      <c r="P16" s="4"/>
      <c r="Q16" s="4"/>
    </row>
    <row r="17">
      <c r="A17" s="5">
        <v>16.0</v>
      </c>
      <c r="B17" s="5" t="s">
        <v>37</v>
      </c>
      <c r="C17" s="5" t="s">
        <v>38</v>
      </c>
      <c r="D17" s="6">
        <f>IFERROR(__xludf.DUMMYFUNCTION("SPLIT(MID(C17,2,LEN(C17)-2), "","")"),933.0)</f>
        <v>933</v>
      </c>
      <c r="E17" s="7"/>
      <c r="F17" s="7"/>
      <c r="G17" s="2" t="str">
        <f t="array" ref="G17">IF(ISBLANK(D17), "", INDEX(Categories!$B:$B,MATCH(D17,Categories!$A:$A,0)))</f>
        <v>Loans &amp; Mortgages</v>
      </c>
      <c r="H17" s="7" t="str">
        <f t="array" ref="H17">IF(ISBLANK(E17), "", INDEX(Categories!$B:$B,MATCH(E17,Categories!$A:$A,0)))</f>
        <v/>
      </c>
      <c r="I17" s="7" t="str">
        <f t="array" ref="I17">IF(ISBLANK(F17), "", INDEX(Categories!$B:$B,MATCH(F17,Categories!$A:$A,0)))</f>
        <v/>
      </c>
      <c r="J17" s="4"/>
      <c r="K17" s="4"/>
      <c r="L17" s="4"/>
      <c r="M17" s="4"/>
      <c r="N17" s="4"/>
      <c r="O17" s="4"/>
      <c r="P17" s="4"/>
      <c r="Q17" s="4"/>
    </row>
    <row r="18">
      <c r="A18" s="5">
        <v>17.0</v>
      </c>
      <c r="B18" s="5" t="s">
        <v>39</v>
      </c>
      <c r="C18" s="5" t="s">
        <v>16</v>
      </c>
      <c r="D18" s="6">
        <f>IFERROR(__xludf.DUMMYFUNCTION("SPLIT(MID(C18,2,LEN(C18)-2), "","")"),51.0)</f>
        <v>51</v>
      </c>
      <c r="E18" s="7"/>
      <c r="F18" s="7"/>
      <c r="G18" s="2" t="str">
        <f t="array" ref="G18">IF(ISBLANK(D18), "", INDEX(Categories!$B:$B,MATCH(D18,Categories!$A:$A,0)))</f>
        <v>Automobile Parts &amp; Supplies</v>
      </c>
      <c r="H18" s="7" t="str">
        <f t="array" ref="H18">IF(ISBLANK(E18), "", INDEX(Categories!$B:$B,MATCH(E18,Categories!$A:$A,0)))</f>
        <v/>
      </c>
      <c r="I18" s="7" t="str">
        <f t="array" ref="I18">IF(ISBLANK(F18), "", INDEX(Categories!$B:$B,MATCH(F18,Categories!$A:$A,0)))</f>
        <v/>
      </c>
      <c r="J18" s="4"/>
      <c r="K18" s="4"/>
      <c r="L18" s="4"/>
      <c r="M18" s="4"/>
      <c r="N18" s="4"/>
      <c r="O18" s="4"/>
      <c r="P18" s="4"/>
      <c r="Q18" s="4"/>
    </row>
    <row r="19">
      <c r="A19" s="5">
        <v>18.0</v>
      </c>
      <c r="B19" s="5" t="s">
        <v>40</v>
      </c>
      <c r="C19" s="5" t="s">
        <v>41</v>
      </c>
      <c r="D19" s="6">
        <f>IFERROR(__xludf.DUMMYFUNCTION("SPLIT(MID(C19,2,LEN(C19)-2), "","")"),93.0)</f>
        <v>93</v>
      </c>
      <c r="E19" s="7"/>
      <c r="F19" s="7"/>
      <c r="G19" s="2" t="str">
        <f t="array" ref="G19">IF(ISBLANK(D19), "", INDEX(Categories!$B:$B,MATCH(D19,Categories!$A:$A,0)))</f>
        <v>Automobile - Rentals</v>
      </c>
      <c r="H19" s="7" t="str">
        <f t="array" ref="H19">IF(ISBLANK(E19), "", INDEX(Categories!$B:$B,MATCH(E19,Categories!$A:$A,0)))</f>
        <v/>
      </c>
      <c r="I19" s="7" t="str">
        <f t="array" ref="I19">IF(ISBLANK(F19), "", INDEX(Categories!$B:$B,MATCH(F19,Categories!$A:$A,0)))</f>
        <v/>
      </c>
      <c r="J19" s="4"/>
      <c r="K19" s="4"/>
      <c r="L19" s="4"/>
      <c r="M19" s="4"/>
      <c r="N19" s="4"/>
      <c r="O19" s="4"/>
      <c r="P19" s="4"/>
      <c r="Q19" s="4"/>
    </row>
    <row r="20">
      <c r="A20" s="5">
        <v>19.0</v>
      </c>
      <c r="B20" s="5" t="s">
        <v>42</v>
      </c>
      <c r="C20" s="5" t="s">
        <v>43</v>
      </c>
      <c r="D20" s="6">
        <f>IFERROR(__xludf.DUMMYFUNCTION("SPLIT(MID(C20,2,LEN(C20)-2), "","")"),292.0)</f>
        <v>292</v>
      </c>
      <c r="E20" s="7"/>
      <c r="F20" s="7"/>
      <c r="G20" s="2" t="str">
        <f t="array" ref="G20">IF(ISBLANK(D20), "", INDEX(Categories!$B:$B,MATCH(D20,Categories!$A:$A,0)))</f>
        <v>Banks</v>
      </c>
      <c r="H20" s="7" t="str">
        <f t="array" ref="H20">IF(ISBLANK(E20), "", INDEX(Categories!$B:$B,MATCH(E20,Categories!$A:$A,0)))</f>
        <v/>
      </c>
      <c r="I20" s="7" t="str">
        <f t="array" ref="I20">IF(ISBLANK(F20), "", INDEX(Categories!$B:$B,MATCH(F20,Categories!$A:$A,0)))</f>
        <v/>
      </c>
      <c r="J20" s="4"/>
      <c r="K20" s="4"/>
      <c r="L20" s="4"/>
      <c r="M20" s="4"/>
      <c r="N20" s="4"/>
      <c r="O20" s="4"/>
      <c r="P20" s="4"/>
      <c r="Q20" s="4"/>
    </row>
    <row r="21">
      <c r="A21" s="5">
        <v>20.0</v>
      </c>
      <c r="B21" s="5" t="s">
        <v>44</v>
      </c>
      <c r="C21" s="5" t="s">
        <v>45</v>
      </c>
      <c r="D21" s="6">
        <f>IFERROR(__xludf.DUMMYFUNCTION("SPLIT(MID(C21,2,LEN(C21)-2), "","")"),234.0)</f>
        <v>234</v>
      </c>
      <c r="E21" s="7"/>
      <c r="F21" s="7"/>
      <c r="G21" s="2" t="str">
        <f t="array" ref="G21">IF(ISBLANK(D21), "", INDEX(Categories!$B:$B,MATCH(D21,Categories!$A:$A,0)))</f>
        <v>Ice Cream Parlors Consumer</v>
      </c>
      <c r="H21" s="7" t="str">
        <f t="array" ref="H21">IF(ISBLANK(E21), "", INDEX(Categories!$B:$B,MATCH(E21,Categories!$A:$A,0)))</f>
        <v/>
      </c>
      <c r="I21" s="7" t="str">
        <f t="array" ref="I21">IF(ISBLANK(F21), "", INDEX(Categories!$B:$B,MATCH(F21,Categories!$A:$A,0)))</f>
        <v/>
      </c>
      <c r="J21" s="4"/>
      <c r="K21" s="4"/>
      <c r="L21" s="4"/>
      <c r="M21" s="4"/>
      <c r="N21" s="4"/>
      <c r="O21" s="4"/>
      <c r="P21" s="4"/>
      <c r="Q21" s="4"/>
    </row>
    <row r="22">
      <c r="A22" s="5">
        <v>21.0</v>
      </c>
      <c r="B22" s="5" t="s">
        <v>46</v>
      </c>
      <c r="C22" s="5" t="s">
        <v>47</v>
      </c>
      <c r="D22" s="6">
        <f>IFERROR(__xludf.DUMMYFUNCTION("SPLIT(MID(C22,2,LEN(C22)-2), "","")"),546.0)</f>
        <v>546</v>
      </c>
      <c r="E22" s="7"/>
      <c r="F22" s="7"/>
      <c r="G22" s="2" t="str">
        <f t="array" ref="G22">IF(ISBLANK(D22), "", INDEX(Categories!$B:$B,MATCH(D22,Categories!$A:$A,0)))</f>
        <v>Cosmetics &amp; Perfumes Retail</v>
      </c>
      <c r="H22" s="7" t="str">
        <f t="array" ref="H22">IF(ISBLANK(E22), "", INDEX(Categories!$B:$B,MATCH(E22,Categories!$A:$A,0)))</f>
        <v/>
      </c>
      <c r="I22" s="7" t="str">
        <f t="array" ref="I22">IF(ISBLANK(F22), "", INDEX(Categories!$B:$B,MATCH(F22,Categories!$A:$A,0)))</f>
        <v/>
      </c>
      <c r="J22" s="4"/>
      <c r="K22" s="4"/>
      <c r="L22" s="4"/>
      <c r="M22" s="4"/>
      <c r="N22" s="4"/>
      <c r="O22" s="4"/>
      <c r="P22" s="4"/>
      <c r="Q22" s="4"/>
    </row>
    <row r="23">
      <c r="A23" s="5">
        <v>22.0</v>
      </c>
      <c r="B23" s="5" t="s">
        <v>48</v>
      </c>
      <c r="C23" s="5" t="s">
        <v>49</v>
      </c>
      <c r="D23" s="6">
        <f>IFERROR(__xludf.DUMMYFUNCTION("SPLIT(MID(C23,2,LEN(C23)-2), "","")"),1294.0)</f>
        <v>1294</v>
      </c>
      <c r="E23" s="7"/>
      <c r="F23" s="7"/>
      <c r="G23" s="2" t="str">
        <f t="array" ref="G23">IF(ISBLANK(D23), "", INDEX(Categories!$B:$B,MATCH(D23,Categories!$A:$A,0)))</f>
        <v>Hearing Aids &amp; Assistive Devices</v>
      </c>
      <c r="H23" s="7" t="str">
        <f t="array" ref="H23">IF(ISBLANK(E23), "", INDEX(Categories!$B:$B,MATCH(E23,Categories!$A:$A,0)))</f>
        <v/>
      </c>
      <c r="I23" s="7" t="str">
        <f t="array" ref="I23">IF(ISBLANK(F23), "", INDEX(Categories!$B:$B,MATCH(F23,Categories!$A:$A,0)))</f>
        <v/>
      </c>
      <c r="J23" s="4"/>
      <c r="K23" s="4"/>
      <c r="L23" s="4"/>
      <c r="M23" s="4"/>
      <c r="N23" s="4"/>
      <c r="O23" s="4"/>
      <c r="P23" s="4"/>
      <c r="Q23" s="4"/>
    </row>
    <row r="24">
      <c r="A24" s="5">
        <v>23.0</v>
      </c>
      <c r="B24" s="5" t="s">
        <v>50</v>
      </c>
      <c r="C24" s="5" t="s">
        <v>51</v>
      </c>
      <c r="D24" s="6">
        <f>IFERROR(__xludf.DUMMYFUNCTION("SPLIT(MID(C24,2,LEN(C24)-2), "","")"),608.0)</f>
        <v>608</v>
      </c>
      <c r="E24" s="7"/>
      <c r="F24" s="7"/>
      <c r="G24" s="2" t="str">
        <f t="array" ref="G24">IF(ISBLANK(D24), "", INDEX(Categories!$B:$B,MATCH(D24,Categories!$A:$A,0)))</f>
        <v>Sandwiches</v>
      </c>
      <c r="H24" s="7" t="str">
        <f t="array" ref="H24">IF(ISBLANK(E24), "", INDEX(Categories!$B:$B,MATCH(E24,Categories!$A:$A,0)))</f>
        <v/>
      </c>
      <c r="I24" s="7" t="str">
        <f t="array" ref="I24">IF(ISBLANK(F24), "", INDEX(Categories!$B:$B,MATCH(F24,Categories!$A:$A,0)))</f>
        <v/>
      </c>
      <c r="J24" s="4"/>
      <c r="K24" s="4"/>
      <c r="L24" s="4"/>
      <c r="M24" s="4"/>
      <c r="N24" s="4"/>
      <c r="O24" s="4"/>
      <c r="P24" s="4"/>
      <c r="Q24" s="4"/>
    </row>
    <row r="25">
      <c r="A25" s="5">
        <v>24.0</v>
      </c>
      <c r="B25" s="5" t="s">
        <v>52</v>
      </c>
      <c r="C25" s="5" t="s">
        <v>53</v>
      </c>
      <c r="D25" s="6">
        <f>IFERROR(__xludf.DUMMYFUNCTION("SPLIT(MID(C25,2,LEN(C25)-2), "","")"),714.0)</f>
        <v>714</v>
      </c>
      <c r="E25" s="7"/>
      <c r="F25" s="7"/>
      <c r="G25" s="2" t="str">
        <f t="array" ref="G25">IF(ISBLANK(D25), "", INDEX(Categories!$B:$B,MATCH(D25,Categories!$A:$A,0)))</f>
        <v>Tax Return Preparation &amp; Filing</v>
      </c>
      <c r="H25" s="7" t="str">
        <f t="array" ref="H25">IF(ISBLANK(E25), "", INDEX(Categories!$B:$B,MATCH(E25,Categories!$A:$A,0)))</f>
        <v/>
      </c>
      <c r="I25" s="7" t="str">
        <f t="array" ref="I25">IF(ISBLANK(F25), "", INDEX(Categories!$B:$B,MATCH(F25,Categories!$A:$A,0)))</f>
        <v/>
      </c>
      <c r="J25" s="4"/>
      <c r="K25" s="4"/>
      <c r="L25" s="4"/>
      <c r="M25" s="4"/>
      <c r="N25" s="4"/>
      <c r="O25" s="4"/>
      <c r="P25" s="4"/>
      <c r="Q25" s="4"/>
    </row>
    <row r="26">
      <c r="A26" s="5">
        <v>25.0</v>
      </c>
      <c r="B26" s="5" t="s">
        <v>54</v>
      </c>
      <c r="C26" s="5" t="s">
        <v>55</v>
      </c>
      <c r="D26" s="6">
        <f>IFERROR(__xludf.DUMMYFUNCTION("SPLIT(MID(C26,2,LEN(C26)-2), "","")"),1420.0)</f>
        <v>1420</v>
      </c>
      <c r="E26" s="7"/>
      <c r="F26" s="7"/>
      <c r="G26" s="2" t="str">
        <f t="array" ref="G26">IF(ISBLANK(D26), "", INDEX(Categories!$B:$B,MATCH(D26,Categories!$A:$A,0)))</f>
        <v>Video Tapes &amp; Discs Sales &amp; Rentals</v>
      </c>
      <c r="H26" s="7" t="str">
        <f t="array" ref="H26">IF(ISBLANK(E26), "", INDEX(Categories!$B:$B,MATCH(E26,Categories!$A:$A,0)))</f>
        <v/>
      </c>
      <c r="I26" s="7" t="str">
        <f t="array" ref="I26">IF(ISBLANK(F26), "", INDEX(Categories!$B:$B,MATCH(F26,Categories!$A:$A,0)))</f>
        <v/>
      </c>
      <c r="J26" s="4"/>
      <c r="K26" s="4"/>
      <c r="L26" s="4"/>
      <c r="M26" s="4"/>
      <c r="N26" s="4"/>
      <c r="O26" s="4"/>
      <c r="P26" s="4"/>
      <c r="Q26" s="4"/>
    </row>
    <row r="27">
      <c r="A27" s="5">
        <v>26.0</v>
      </c>
      <c r="B27" s="5" t="s">
        <v>56</v>
      </c>
      <c r="C27" s="5" t="s">
        <v>34</v>
      </c>
      <c r="D27" s="6">
        <f>IFERROR(__xludf.DUMMYFUNCTION("SPLIT(MID(C27,2,LEN(C27)-2), "","")"),228.0)</f>
        <v>228</v>
      </c>
      <c r="E27" s="7"/>
      <c r="F27" s="7"/>
      <c r="G27" s="2" t="str">
        <f t="array" ref="G27">IF(ISBLANK(D27), "", INDEX(Categories!$B:$B,MATCH(D27,Categories!$A:$A,0)))</f>
        <v>Restaurants</v>
      </c>
      <c r="H27" s="7" t="str">
        <f t="array" ref="H27">IF(ISBLANK(E27), "", INDEX(Categories!$B:$B,MATCH(E27,Categories!$A:$A,0)))</f>
        <v/>
      </c>
      <c r="I27" s="7" t="str">
        <f t="array" ref="I27">IF(ISBLANK(F27), "", INDEX(Categories!$B:$B,MATCH(F27,Categories!$A:$A,0)))</f>
        <v/>
      </c>
      <c r="J27" s="4"/>
      <c r="K27" s="4"/>
      <c r="L27" s="4"/>
      <c r="M27" s="4"/>
      <c r="N27" s="4"/>
      <c r="O27" s="4"/>
      <c r="P27" s="4"/>
      <c r="Q27" s="4"/>
    </row>
    <row r="28">
      <c r="A28" s="5">
        <v>27.0</v>
      </c>
      <c r="B28" s="5" t="s">
        <v>57</v>
      </c>
      <c r="C28" s="5" t="s">
        <v>58</v>
      </c>
      <c r="D28" s="6">
        <f>IFERROR(__xludf.DUMMYFUNCTION("SPLIT(MID(C28,2,LEN(C28)-2), "","")"),1170.0)</f>
        <v>1170</v>
      </c>
      <c r="E28" s="7"/>
      <c r="F28" s="7"/>
      <c r="G28" s="2" t="str">
        <f t="array" ref="G28">IF(ISBLANK(D28), "", INDEX(Categories!$B:$B,MATCH(D28,Categories!$A:$A,0)))</f>
        <v>Gasoline Retail</v>
      </c>
      <c r="H28" s="7" t="str">
        <f t="array" ref="H28">IF(ISBLANK(E28), "", INDEX(Categories!$B:$B,MATCH(E28,Categories!$A:$A,0)))</f>
        <v/>
      </c>
      <c r="I28" s="7" t="str">
        <f t="array" ref="I28">IF(ISBLANK(F28), "", INDEX(Categories!$B:$B,MATCH(F28,Categories!$A:$A,0)))</f>
        <v/>
      </c>
      <c r="J28" s="4"/>
      <c r="K28" s="4"/>
      <c r="L28" s="4"/>
      <c r="M28" s="4"/>
      <c r="N28" s="4"/>
      <c r="O28" s="4"/>
      <c r="P28" s="4"/>
      <c r="Q28" s="4"/>
    </row>
    <row r="29">
      <c r="A29" s="5">
        <v>28.0</v>
      </c>
      <c r="B29" s="5" t="s">
        <v>59</v>
      </c>
      <c r="C29" s="5" t="s">
        <v>60</v>
      </c>
      <c r="D29" s="6">
        <f>IFERROR(__xludf.DUMMYFUNCTION("SPLIT(MID(C29,2,LEN(C29)-2), "","")"),240.0)</f>
        <v>240</v>
      </c>
      <c r="E29" s="7"/>
      <c r="F29" s="7"/>
      <c r="G29" s="2" t="str">
        <f t="array" ref="G29">IF(ISBLANK(D29), "", INDEX(Categories!$B:$B,MATCH(D29,Categories!$A:$A,0)))</f>
        <v>Restaurants Fast Food</v>
      </c>
      <c r="H29" s="7" t="str">
        <f t="array" ref="H29">IF(ISBLANK(E29), "", INDEX(Categories!$B:$B,MATCH(E29,Categories!$A:$A,0)))</f>
        <v/>
      </c>
      <c r="I29" s="7" t="str">
        <f t="array" ref="I29">IF(ISBLANK(F29), "", INDEX(Categories!$B:$B,MATCH(F29,Categories!$A:$A,0)))</f>
        <v/>
      </c>
      <c r="J29" s="4"/>
      <c r="K29" s="4"/>
      <c r="L29" s="4"/>
      <c r="M29" s="4"/>
      <c r="N29" s="4"/>
      <c r="O29" s="4"/>
      <c r="P29" s="4"/>
      <c r="Q29" s="4"/>
    </row>
    <row r="30">
      <c r="A30" s="5">
        <v>29.0</v>
      </c>
      <c r="B30" s="5" t="s">
        <v>61</v>
      </c>
      <c r="C30" s="5" t="s">
        <v>62</v>
      </c>
      <c r="D30" s="6">
        <f>IFERROR(__xludf.DUMMYFUNCTION("SPLIT(MID(C30,2,LEN(C30)-2), "","")"),242.0)</f>
        <v>242</v>
      </c>
      <c r="E30" s="7"/>
      <c r="F30" s="7"/>
      <c r="G30" s="2" t="str">
        <f t="array" ref="G30">IF(ISBLANK(D30), "", INDEX(Categories!$B:$B,MATCH(D30,Categories!$A:$A,0)))</f>
        <v>Restaurants Pizza</v>
      </c>
      <c r="H30" s="7" t="str">
        <f t="array" ref="H30">IF(ISBLANK(E30), "", INDEX(Categories!$B:$B,MATCH(E30,Categories!$A:$A,0)))</f>
        <v/>
      </c>
      <c r="I30" s="7" t="str">
        <f t="array" ref="I30">IF(ISBLANK(F30), "", INDEX(Categories!$B:$B,MATCH(F30,Categories!$A:$A,0)))</f>
        <v/>
      </c>
      <c r="J30" s="4"/>
      <c r="K30" s="4"/>
      <c r="L30" s="4"/>
      <c r="M30" s="4"/>
      <c r="N30" s="4"/>
      <c r="O30" s="4"/>
      <c r="P30" s="4"/>
      <c r="Q30" s="4"/>
    </row>
    <row r="31">
      <c r="A31" s="5">
        <v>30.0</v>
      </c>
      <c r="B31" s="5" t="s">
        <v>63</v>
      </c>
      <c r="C31" s="5" t="s">
        <v>10</v>
      </c>
      <c r="D31" s="6">
        <f>IFERROR(__xludf.DUMMYFUNCTION("SPLIT(MID(C31,2,LEN(C31)-2), "","")"),1168.0)</f>
        <v>1168</v>
      </c>
      <c r="E31" s="7"/>
      <c r="F31" s="7"/>
      <c r="G31" s="2" t="str">
        <f t="array" ref="G31">IF(ISBLANK(D31), "", INDEX(Categories!$B:$B,MATCH(D31,Categories!$A:$A,0)))</f>
        <v>Convenience Stores</v>
      </c>
      <c r="H31" s="7" t="str">
        <f t="array" ref="H31">IF(ISBLANK(E31), "", INDEX(Categories!$B:$B,MATCH(E31,Categories!$A:$A,0)))</f>
        <v/>
      </c>
      <c r="I31" s="7" t="str">
        <f t="array" ref="I31">IF(ISBLANK(F31), "", INDEX(Categories!$B:$B,MATCH(F31,Categories!$A:$A,0)))</f>
        <v/>
      </c>
      <c r="J31" s="4"/>
      <c r="K31" s="4"/>
      <c r="L31" s="4"/>
      <c r="M31" s="4"/>
      <c r="N31" s="4"/>
      <c r="O31" s="4"/>
      <c r="P31" s="4"/>
      <c r="Q31" s="4"/>
    </row>
    <row r="32">
      <c r="A32" s="5">
        <v>31.0</v>
      </c>
      <c r="B32" s="5" t="s">
        <v>64</v>
      </c>
      <c r="C32" s="5" t="s">
        <v>65</v>
      </c>
      <c r="D32" s="6">
        <f>IFERROR(__xludf.DUMMYFUNCTION("SPLIT(MID(C32,2,LEN(C32)-2), "","")"),983.0)</f>
        <v>983</v>
      </c>
      <c r="E32" s="7"/>
      <c r="F32" s="7"/>
      <c r="G32" s="2" t="str">
        <f t="array" ref="G32">IF(ISBLANK(D32), "", INDEX(Categories!$B:$B,MATCH(D32,Categories!$A:$A,0)))</f>
        <v>Mobile Telephone Service</v>
      </c>
      <c r="H32" s="7" t="str">
        <f t="array" ref="H32">IF(ISBLANK(E32), "", INDEX(Categories!$B:$B,MATCH(E32,Categories!$A:$A,0)))</f>
        <v/>
      </c>
      <c r="I32" s="7" t="str">
        <f t="array" ref="I32">IF(ISBLANK(F32), "", INDEX(Categories!$B:$B,MATCH(F32,Categories!$A:$A,0)))</f>
        <v/>
      </c>
      <c r="J32" s="4"/>
      <c r="K32" s="4"/>
      <c r="L32" s="4"/>
      <c r="M32" s="4"/>
      <c r="N32" s="4"/>
      <c r="O32" s="4"/>
      <c r="P32" s="4"/>
      <c r="Q32" s="4"/>
    </row>
    <row r="33">
      <c r="A33" s="5">
        <v>32.0</v>
      </c>
      <c r="B33" s="5" t="s">
        <v>66</v>
      </c>
      <c r="C33" s="5" t="s">
        <v>67</v>
      </c>
      <c r="D33" s="6">
        <f>IFERROR(__xludf.DUMMYFUNCTION("SPLIT(MID(C33,2,LEN(C33)-2), "","")"),1820.0)</f>
        <v>1820</v>
      </c>
      <c r="E33" s="7"/>
      <c r="F33" s="7"/>
      <c r="G33" s="2" t="str">
        <f t="array" ref="G33">IF(ISBLANK(D33), "", INDEX(Categories!$B:$B,MATCH(D33,Categories!$A:$A,0)))</f>
        <v>Real Estate - Property Management</v>
      </c>
      <c r="H33" s="7" t="str">
        <f t="array" ref="H33">IF(ISBLANK(E33), "", INDEX(Categories!$B:$B,MATCH(E33,Categories!$A:$A,0)))</f>
        <v/>
      </c>
      <c r="I33" s="7" t="str">
        <f t="array" ref="I33">IF(ISBLANK(F33), "", INDEX(Categories!$B:$B,MATCH(F33,Categories!$A:$A,0)))</f>
        <v/>
      </c>
      <c r="J33" s="4"/>
      <c r="K33" s="4"/>
      <c r="L33" s="4"/>
      <c r="M33" s="4"/>
      <c r="N33" s="4"/>
      <c r="O33" s="4"/>
      <c r="P33" s="4"/>
      <c r="Q33" s="4"/>
    </row>
    <row r="34">
      <c r="A34" s="5">
        <v>33.0</v>
      </c>
      <c r="B34" s="5" t="s">
        <v>68</v>
      </c>
      <c r="C34" s="5" t="s">
        <v>69</v>
      </c>
      <c r="D34" s="6">
        <f>IFERROR(__xludf.DUMMYFUNCTION("SPLIT(MID(C34,2,LEN(C34)-2), "","")"),293.0)</f>
        <v>293</v>
      </c>
      <c r="E34" s="7"/>
      <c r="F34" s="7"/>
      <c r="G34" s="2" t="str">
        <f t="array" ref="G34">IF(ISBLANK(D34), "", INDEX(Categories!$B:$B,MATCH(D34,Categories!$A:$A,0)))</f>
        <v>Banks Commercial</v>
      </c>
      <c r="H34" s="7" t="str">
        <f t="array" ref="H34">IF(ISBLANK(E34), "", INDEX(Categories!$B:$B,MATCH(E34,Categories!$A:$A,0)))</f>
        <v/>
      </c>
      <c r="I34" s="7" t="str">
        <f t="array" ref="I34">IF(ISBLANK(F34), "", INDEX(Categories!$B:$B,MATCH(F34,Categories!$A:$A,0)))</f>
        <v/>
      </c>
      <c r="J34" s="4"/>
      <c r="K34" s="4"/>
      <c r="L34" s="4"/>
      <c r="M34" s="4"/>
      <c r="N34" s="4"/>
      <c r="O34" s="4"/>
      <c r="P34" s="4"/>
      <c r="Q34" s="4"/>
    </row>
    <row r="35">
      <c r="A35" s="5">
        <v>34.0</v>
      </c>
      <c r="B35" s="5" t="s">
        <v>70</v>
      </c>
      <c r="C35" s="5" t="s">
        <v>58</v>
      </c>
      <c r="D35" s="6">
        <f>IFERROR(__xludf.DUMMYFUNCTION("SPLIT(MID(C35,2,LEN(C35)-2), "","")"),1170.0)</f>
        <v>1170</v>
      </c>
      <c r="E35" s="7"/>
      <c r="F35" s="7"/>
      <c r="G35" s="2" t="str">
        <f t="array" ref="G35">IF(ISBLANK(D35), "", INDEX(Categories!$B:$B,MATCH(D35,Categories!$A:$A,0)))</f>
        <v>Gasoline Retail</v>
      </c>
      <c r="H35" s="7" t="str">
        <f t="array" ref="H35">IF(ISBLANK(E35), "", INDEX(Categories!$B:$B,MATCH(E35,Categories!$A:$A,0)))</f>
        <v/>
      </c>
      <c r="I35" s="7" t="str">
        <f t="array" ref="I35">IF(ISBLANK(F35), "", INDEX(Categories!$B:$B,MATCH(F35,Categories!$A:$A,0)))</f>
        <v/>
      </c>
      <c r="J35" s="4"/>
      <c r="K35" s="4"/>
      <c r="L35" s="4"/>
      <c r="M35" s="4"/>
      <c r="N35" s="4"/>
      <c r="O35" s="4"/>
      <c r="P35" s="4"/>
      <c r="Q35" s="4"/>
    </row>
    <row r="36">
      <c r="A36" s="5">
        <v>35.0</v>
      </c>
      <c r="B36" s="5" t="s">
        <v>71</v>
      </c>
      <c r="C36" s="5" t="s">
        <v>72</v>
      </c>
      <c r="D36" s="6">
        <f>IFERROR(__xludf.DUMMYFUNCTION("SPLIT(MID(C36,2,LEN(C36)-2), "","")"),384.0)</f>
        <v>384</v>
      </c>
      <c r="E36" s="7"/>
      <c r="F36" s="7"/>
      <c r="G36" s="2" t="str">
        <f t="array" ref="G36">IF(ISBLANK(D36), "", INDEX(Categories!$B:$B,MATCH(D36,Categories!$A:$A,0)))</f>
        <v>Churches Christian Science</v>
      </c>
      <c r="H36" s="7" t="str">
        <f t="array" ref="H36">IF(ISBLANK(E36), "", INDEX(Categories!$B:$B,MATCH(E36,Categories!$A:$A,0)))</f>
        <v/>
      </c>
      <c r="I36" s="7" t="str">
        <f t="array" ref="I36">IF(ISBLANK(F36), "", INDEX(Categories!$B:$B,MATCH(F36,Categories!$A:$A,0)))</f>
        <v/>
      </c>
      <c r="J36" s="4"/>
      <c r="K36" s="4"/>
      <c r="L36" s="4"/>
      <c r="M36" s="4"/>
      <c r="N36" s="4"/>
      <c r="O36" s="4"/>
      <c r="P36" s="4"/>
      <c r="Q36" s="4"/>
    </row>
    <row r="37">
      <c r="A37" s="5">
        <v>36.0</v>
      </c>
      <c r="B37" s="5" t="s">
        <v>73</v>
      </c>
      <c r="C37" s="5" t="s">
        <v>74</v>
      </c>
      <c r="D37" s="6">
        <f>IFERROR(__xludf.DUMMYFUNCTION("SPLIT(MID(C37,2,LEN(C37)-2), "","")"),385.0)</f>
        <v>385</v>
      </c>
      <c r="E37" s="7"/>
      <c r="F37" s="7"/>
      <c r="G37" s="2" t="str">
        <f t="array" ref="G37">IF(ISBLANK(D37), "", INDEX(Categories!$B:$B,MATCH(D37,Categories!$A:$A,0)))</f>
        <v>Churches Church Of Christ</v>
      </c>
      <c r="H37" s="7" t="str">
        <f t="array" ref="H37">IF(ISBLANK(E37), "", INDEX(Categories!$B:$B,MATCH(E37,Categories!$A:$A,0)))</f>
        <v/>
      </c>
      <c r="I37" s="7" t="str">
        <f t="array" ref="I37">IF(ISBLANK(F37), "", INDEX(Categories!$B:$B,MATCH(F37,Categories!$A:$A,0)))</f>
        <v/>
      </c>
      <c r="J37" s="4"/>
      <c r="K37" s="4"/>
      <c r="L37" s="4"/>
      <c r="M37" s="4"/>
      <c r="N37" s="4"/>
      <c r="O37" s="4"/>
      <c r="P37" s="4"/>
      <c r="Q37" s="4"/>
    </row>
    <row r="38">
      <c r="A38" s="5">
        <v>37.0</v>
      </c>
      <c r="B38" s="5" t="s">
        <v>75</v>
      </c>
      <c r="C38" s="5" t="s">
        <v>76</v>
      </c>
      <c r="D38" s="6">
        <f>IFERROR(__xludf.DUMMYFUNCTION("SPLIT(MID(C38,2,LEN(C38)-2), "","")"),386.0)</f>
        <v>386</v>
      </c>
      <c r="E38" s="7"/>
      <c r="F38" s="7"/>
      <c r="G38" s="2" t="str">
        <f t="array" ref="G38">IF(ISBLANK(D38), "", INDEX(Categories!$B:$B,MATCH(D38,Categories!$A:$A,0)))</f>
        <v>Churches Church Of God</v>
      </c>
      <c r="H38" s="7" t="str">
        <f t="array" ref="H38">IF(ISBLANK(E38), "", INDEX(Categories!$B:$B,MATCH(E38,Categories!$A:$A,0)))</f>
        <v/>
      </c>
      <c r="I38" s="7" t="str">
        <f t="array" ref="I38">IF(ISBLANK(F38), "", INDEX(Categories!$B:$B,MATCH(F38,Categories!$A:$A,0)))</f>
        <v/>
      </c>
      <c r="J38" s="4"/>
      <c r="K38" s="4"/>
      <c r="L38" s="4"/>
      <c r="M38" s="4"/>
      <c r="N38" s="4"/>
      <c r="O38" s="4"/>
      <c r="P38" s="4"/>
      <c r="Q38" s="4"/>
    </row>
    <row r="39">
      <c r="A39" s="5">
        <v>38.0</v>
      </c>
      <c r="B39" s="5" t="s">
        <v>77</v>
      </c>
      <c r="C39" s="5" t="s">
        <v>76</v>
      </c>
      <c r="D39" s="6">
        <f>IFERROR(__xludf.DUMMYFUNCTION("SPLIT(MID(C39,2,LEN(C39)-2), "","")"),386.0)</f>
        <v>386</v>
      </c>
      <c r="E39" s="7"/>
      <c r="F39" s="7"/>
      <c r="G39" s="2" t="str">
        <f t="array" ref="G39">IF(ISBLANK(D39), "", INDEX(Categories!$B:$B,MATCH(D39,Categories!$A:$A,0)))</f>
        <v>Churches Church Of God</v>
      </c>
      <c r="H39" s="7" t="str">
        <f t="array" ref="H39">IF(ISBLANK(E39), "", INDEX(Categories!$B:$B,MATCH(E39,Categories!$A:$A,0)))</f>
        <v/>
      </c>
      <c r="I39" s="7" t="str">
        <f t="array" ref="I39">IF(ISBLANK(F39), "", INDEX(Categories!$B:$B,MATCH(F39,Categories!$A:$A,0)))</f>
        <v/>
      </c>
      <c r="J39" s="4"/>
      <c r="K39" s="4"/>
      <c r="L39" s="4"/>
      <c r="M39" s="4"/>
      <c r="N39" s="4"/>
      <c r="O39" s="4"/>
      <c r="P39" s="4"/>
      <c r="Q39" s="4"/>
    </row>
    <row r="40">
      <c r="A40" s="5">
        <v>39.0</v>
      </c>
      <c r="B40" s="5" t="s">
        <v>78</v>
      </c>
      <c r="C40" s="5" t="s">
        <v>79</v>
      </c>
      <c r="D40" s="6">
        <f>IFERROR(__xludf.DUMMYFUNCTION("SPLIT(MID(C40,2,LEN(C40)-2), "","")"),387.0)</f>
        <v>387</v>
      </c>
      <c r="E40" s="7"/>
      <c r="F40" s="7"/>
      <c r="G40" s="2" t="str">
        <f t="array" ref="G40">IF(ISBLANK(D40), "", INDEX(Categories!$B:$B,MATCH(D40,Categories!$A:$A,0)))</f>
        <v>Churches Church Of Jesus Christ Of Latter Day Saints</v>
      </c>
      <c r="H40" s="7" t="str">
        <f t="array" ref="H40">IF(ISBLANK(E40), "", INDEX(Categories!$B:$B,MATCH(E40,Categories!$A:$A,0)))</f>
        <v/>
      </c>
      <c r="I40" s="7" t="str">
        <f t="array" ref="I40">IF(ISBLANK(F40), "", INDEX(Categories!$B:$B,MATCH(F40,Categories!$A:$A,0)))</f>
        <v/>
      </c>
      <c r="J40" s="4"/>
      <c r="K40" s="4"/>
      <c r="L40" s="4"/>
      <c r="M40" s="4"/>
      <c r="N40" s="4"/>
      <c r="O40" s="4"/>
      <c r="P40" s="4"/>
      <c r="Q40" s="4"/>
    </row>
    <row r="41">
      <c r="A41" s="5">
        <v>40.0</v>
      </c>
      <c r="B41" s="5" t="s">
        <v>80</v>
      </c>
      <c r="C41" s="5" t="s">
        <v>81</v>
      </c>
      <c r="D41" s="6">
        <f>IFERROR(__xludf.DUMMYFUNCTION("SPLIT(MID(C41,2,LEN(C41)-2), "","")"),388.0)</f>
        <v>388</v>
      </c>
      <c r="E41" s="7"/>
      <c r="F41" s="7"/>
      <c r="G41" s="2" t="str">
        <f t="array" ref="G41">IF(ISBLANK(D41), "", INDEX(Categories!$B:$B,MATCH(D41,Categories!$A:$A,0)))</f>
        <v>Churches Church Of The Nazarene</v>
      </c>
      <c r="H41" s="7" t="str">
        <f t="array" ref="H41">IF(ISBLANK(E41), "", INDEX(Categories!$B:$B,MATCH(E41,Categories!$A:$A,0)))</f>
        <v/>
      </c>
      <c r="I41" s="7" t="str">
        <f t="array" ref="I41">IF(ISBLANK(F41), "", INDEX(Categories!$B:$B,MATCH(F41,Categories!$A:$A,0)))</f>
        <v/>
      </c>
      <c r="J41" s="4"/>
      <c r="K41" s="4"/>
      <c r="L41" s="4"/>
      <c r="M41" s="4"/>
      <c r="N41" s="4"/>
      <c r="O41" s="4"/>
      <c r="P41" s="4"/>
      <c r="Q41" s="4"/>
    </row>
    <row r="42">
      <c r="A42" s="5">
        <v>41.0</v>
      </c>
      <c r="B42" s="5" t="s">
        <v>82</v>
      </c>
      <c r="C42" s="5" t="s">
        <v>34</v>
      </c>
      <c r="D42" s="6">
        <f>IFERROR(__xludf.DUMMYFUNCTION("SPLIT(MID(C42,2,LEN(C42)-2), "","")"),228.0)</f>
        <v>228</v>
      </c>
      <c r="E42" s="7"/>
      <c r="F42" s="7"/>
      <c r="G42" s="2" t="str">
        <f t="array" ref="G42">IF(ISBLANK(D42), "", INDEX(Categories!$B:$B,MATCH(D42,Categories!$A:$A,0)))</f>
        <v>Restaurants</v>
      </c>
      <c r="H42" s="7" t="str">
        <f t="array" ref="H42">IF(ISBLANK(E42), "", INDEX(Categories!$B:$B,MATCH(E42,Categories!$A:$A,0)))</f>
        <v/>
      </c>
      <c r="I42" s="7" t="str">
        <f t="array" ref="I42">IF(ISBLANK(F42), "", INDEX(Categories!$B:$B,MATCH(F42,Categories!$A:$A,0)))</f>
        <v/>
      </c>
      <c r="J42" s="4"/>
      <c r="K42" s="4"/>
      <c r="L42" s="4"/>
      <c r="M42" s="4"/>
      <c r="N42" s="4"/>
      <c r="O42" s="4"/>
      <c r="P42" s="4"/>
      <c r="Q42" s="4"/>
    </row>
    <row r="43">
      <c r="A43" s="5">
        <v>42.0</v>
      </c>
      <c r="B43" s="5" t="s">
        <v>83</v>
      </c>
      <c r="C43" s="5" t="s">
        <v>10</v>
      </c>
      <c r="D43" s="6">
        <f>IFERROR(__xludf.DUMMYFUNCTION("SPLIT(MID(C43,2,LEN(C43)-2), "","")"),1168.0)</f>
        <v>1168</v>
      </c>
      <c r="E43" s="7"/>
      <c r="F43" s="7"/>
      <c r="G43" s="2" t="str">
        <f t="array" ref="G43">IF(ISBLANK(D43), "", INDEX(Categories!$B:$B,MATCH(D43,Categories!$A:$A,0)))</f>
        <v>Convenience Stores</v>
      </c>
      <c r="H43" s="7" t="str">
        <f t="array" ref="H43">IF(ISBLANK(E43), "", INDEX(Categories!$B:$B,MATCH(E43,Categories!$A:$A,0)))</f>
        <v/>
      </c>
      <c r="I43" s="7" t="str">
        <f t="array" ref="I43">IF(ISBLANK(F43), "", INDEX(Categories!$B:$B,MATCH(F43,Categories!$A:$A,0)))</f>
        <v/>
      </c>
      <c r="J43" s="4"/>
      <c r="K43" s="4"/>
      <c r="L43" s="4"/>
      <c r="M43" s="4"/>
      <c r="N43" s="4"/>
      <c r="O43" s="4"/>
      <c r="P43" s="4"/>
      <c r="Q43" s="4"/>
    </row>
    <row r="44">
      <c r="A44" s="5">
        <v>43.0</v>
      </c>
      <c r="B44" s="5" t="s">
        <v>84</v>
      </c>
      <c r="C44" s="5" t="s">
        <v>85</v>
      </c>
      <c r="D44" s="6">
        <f>IFERROR(__xludf.DUMMYFUNCTION("SPLIT(MID(C44,2,LEN(C44)-2), "","")"),1243.0)</f>
        <v>1243</v>
      </c>
      <c r="E44" s="7"/>
      <c r="F44" s="7"/>
      <c r="G44" s="2" t="str">
        <f t="array" ref="G44">IF(ISBLANK(D44), "", INDEX(Categories!$B:$B,MATCH(D44,Categories!$A:$A,0)))</f>
        <v>Boutique Items</v>
      </c>
      <c r="H44" s="7" t="str">
        <f t="array" ref="H44">IF(ISBLANK(E44), "", INDEX(Categories!$B:$B,MATCH(E44,Categories!$A:$A,0)))</f>
        <v/>
      </c>
      <c r="I44" s="7" t="str">
        <f t="array" ref="I44">IF(ISBLANK(F44), "", INDEX(Categories!$B:$B,MATCH(F44,Categories!$A:$A,0)))</f>
        <v/>
      </c>
      <c r="J44" s="4"/>
      <c r="K44" s="4"/>
      <c r="L44" s="4"/>
      <c r="M44" s="4"/>
      <c r="N44" s="4"/>
      <c r="O44" s="4"/>
      <c r="P44" s="4"/>
      <c r="Q44" s="4"/>
    </row>
    <row r="45">
      <c r="A45" s="5">
        <v>44.0</v>
      </c>
      <c r="B45" s="5" t="s">
        <v>86</v>
      </c>
      <c r="C45" s="5" t="s">
        <v>87</v>
      </c>
      <c r="D45" s="6">
        <f>IFERROR(__xludf.DUMMYFUNCTION("SPLIT(MID(C45,2,LEN(C45)-2), "","")"),168.0)</f>
        <v>168</v>
      </c>
      <c r="E45" s="7"/>
      <c r="F45" s="7"/>
      <c r="G45" s="2" t="str">
        <f t="array" ref="G45">IF(ISBLANK(D45), "", INDEX(Categories!$B:$B,MATCH(D45,Categories!$A:$A,0)))</f>
        <v>Hotels &amp; Motels</v>
      </c>
      <c r="H45" s="7" t="str">
        <f t="array" ref="H45">IF(ISBLANK(E45), "", INDEX(Categories!$B:$B,MATCH(E45,Categories!$A:$A,0)))</f>
        <v/>
      </c>
      <c r="I45" s="7" t="str">
        <f t="array" ref="I45">IF(ISBLANK(F45), "", INDEX(Categories!$B:$B,MATCH(F45,Categories!$A:$A,0)))</f>
        <v/>
      </c>
      <c r="J45" s="4"/>
      <c r="K45" s="4"/>
      <c r="L45" s="4"/>
      <c r="M45" s="4"/>
      <c r="N45" s="4"/>
      <c r="O45" s="4"/>
      <c r="P45" s="4"/>
      <c r="Q45" s="4"/>
    </row>
    <row r="46">
      <c r="A46" s="5">
        <v>45.0</v>
      </c>
      <c r="B46" s="5" t="s">
        <v>88</v>
      </c>
      <c r="C46" s="5" t="s">
        <v>38</v>
      </c>
      <c r="D46" s="6">
        <f>IFERROR(__xludf.DUMMYFUNCTION("SPLIT(MID(C46,2,LEN(C46)-2), "","")"),933.0)</f>
        <v>933</v>
      </c>
      <c r="E46" s="7"/>
      <c r="F46" s="7"/>
      <c r="G46" s="2" t="str">
        <f t="array" ref="G46">IF(ISBLANK(D46), "", INDEX(Categories!$B:$B,MATCH(D46,Categories!$A:$A,0)))</f>
        <v>Loans &amp; Mortgages</v>
      </c>
      <c r="H46" s="7" t="str">
        <f t="array" ref="H46">IF(ISBLANK(E46), "", INDEX(Categories!$B:$B,MATCH(E46,Categories!$A:$A,0)))</f>
        <v/>
      </c>
      <c r="I46" s="7" t="str">
        <f t="array" ref="I46">IF(ISBLANK(F46), "", INDEX(Categories!$B:$B,MATCH(F46,Categories!$A:$A,0)))</f>
        <v/>
      </c>
      <c r="J46" s="4"/>
      <c r="K46" s="4"/>
      <c r="L46" s="4"/>
      <c r="M46" s="4"/>
      <c r="N46" s="4"/>
      <c r="O46" s="4"/>
      <c r="P46" s="4"/>
      <c r="Q46" s="4"/>
    </row>
    <row r="47">
      <c r="A47" s="5">
        <v>46.0</v>
      </c>
      <c r="B47" s="5" t="s">
        <v>89</v>
      </c>
      <c r="C47" s="5" t="s">
        <v>18</v>
      </c>
      <c r="D47" s="6">
        <f>IFERROR(__xludf.DUMMYFUNCTION("SPLIT(MID(C47,2,LEN(C47)-2), "","")"),121.0)</f>
        <v>121</v>
      </c>
      <c r="E47" s="7"/>
      <c r="F47" s="7"/>
      <c r="G47" s="2" t="str">
        <f t="array" ref="G47">IF(ISBLANK(D47), "", INDEX(Categories!$B:$B,MATCH(D47,Categories!$A:$A,0)))</f>
        <v>Insurance</v>
      </c>
      <c r="H47" s="7" t="str">
        <f t="array" ref="H47">IF(ISBLANK(E47), "", INDEX(Categories!$B:$B,MATCH(E47,Categories!$A:$A,0)))</f>
        <v/>
      </c>
      <c r="I47" s="7" t="str">
        <f t="array" ref="I47">IF(ISBLANK(F47), "", INDEX(Categories!$B:$B,MATCH(F47,Categories!$A:$A,0)))</f>
        <v/>
      </c>
      <c r="J47" s="4"/>
      <c r="K47" s="4"/>
      <c r="L47" s="4"/>
      <c r="M47" s="4"/>
      <c r="N47" s="4"/>
      <c r="O47" s="4"/>
      <c r="P47" s="4"/>
      <c r="Q47" s="4"/>
    </row>
    <row r="48">
      <c r="A48" s="5">
        <v>47.0</v>
      </c>
      <c r="B48" s="5" t="s">
        <v>90</v>
      </c>
      <c r="C48" s="5" t="s">
        <v>91</v>
      </c>
      <c r="D48" s="6">
        <f>IFERROR(__xludf.DUMMYFUNCTION("SPLIT(MID(C48,2,LEN(C48)-2), "","")"),1901.0)</f>
        <v>1901</v>
      </c>
      <c r="E48" s="7"/>
      <c r="F48" s="7"/>
      <c r="G48" s="2" t="str">
        <f t="array" ref="G48">IF(ISBLANK(D48), "", INDEX(Categories!$B:$B,MATCH(D48,Categories!$A:$A,0)))</f>
        <v>Plumbing Fixtures Parts &amp; Supplies Wholesale &amp; Manufacturers</v>
      </c>
      <c r="H48" s="7" t="str">
        <f t="array" ref="H48">IF(ISBLANK(E48), "", INDEX(Categories!$B:$B,MATCH(E48,Categories!$A:$A,0)))</f>
        <v/>
      </c>
      <c r="I48" s="7" t="str">
        <f t="array" ref="I48">IF(ISBLANK(F48), "", INDEX(Categories!$B:$B,MATCH(F48,Categories!$A:$A,0)))</f>
        <v/>
      </c>
      <c r="J48" s="4"/>
      <c r="K48" s="4"/>
      <c r="L48" s="4"/>
      <c r="M48" s="4"/>
      <c r="N48" s="4"/>
      <c r="O48" s="4"/>
      <c r="P48" s="4"/>
      <c r="Q48" s="4"/>
    </row>
    <row r="49">
      <c r="A49" s="5">
        <v>48.0</v>
      </c>
      <c r="B49" s="5" t="s">
        <v>92</v>
      </c>
      <c r="C49" s="5" t="s">
        <v>60</v>
      </c>
      <c r="D49" s="6">
        <f>IFERROR(__xludf.DUMMYFUNCTION("SPLIT(MID(C49,2,LEN(C49)-2), "","")"),240.0)</f>
        <v>240</v>
      </c>
      <c r="E49" s="7"/>
      <c r="F49" s="7"/>
      <c r="G49" s="2" t="str">
        <f t="array" ref="G49">IF(ISBLANK(D49), "", INDEX(Categories!$B:$B,MATCH(D49,Categories!$A:$A,0)))</f>
        <v>Restaurants Fast Food</v>
      </c>
      <c r="H49" s="7" t="str">
        <f t="array" ref="H49">IF(ISBLANK(E49), "", INDEX(Categories!$B:$B,MATCH(E49,Categories!$A:$A,0)))</f>
        <v/>
      </c>
      <c r="I49" s="7" t="str">
        <f t="array" ref="I49">IF(ISBLANK(F49), "", INDEX(Categories!$B:$B,MATCH(F49,Categories!$A:$A,0)))</f>
        <v/>
      </c>
      <c r="J49" s="4"/>
      <c r="K49" s="4"/>
      <c r="L49" s="4"/>
      <c r="M49" s="4"/>
      <c r="N49" s="4"/>
      <c r="O49" s="4"/>
      <c r="P49" s="4"/>
      <c r="Q49" s="4"/>
    </row>
    <row r="50">
      <c r="A50" s="5">
        <v>49.0</v>
      </c>
      <c r="B50" s="5" t="s">
        <v>93</v>
      </c>
      <c r="C50" s="5" t="s">
        <v>87</v>
      </c>
      <c r="D50" s="6">
        <f>IFERROR(__xludf.DUMMYFUNCTION("SPLIT(MID(C50,2,LEN(C50)-2), "","")"),168.0)</f>
        <v>168</v>
      </c>
      <c r="E50" s="7"/>
      <c r="F50" s="7"/>
      <c r="G50" s="2" t="str">
        <f t="array" ref="G50">IF(ISBLANK(D50), "", INDEX(Categories!$B:$B,MATCH(D50,Categories!$A:$A,0)))</f>
        <v>Hotels &amp; Motels</v>
      </c>
      <c r="H50" s="7" t="str">
        <f t="array" ref="H50">IF(ISBLANK(E50), "", INDEX(Categories!$B:$B,MATCH(E50,Categories!$A:$A,0)))</f>
        <v/>
      </c>
      <c r="I50" s="7" t="str">
        <f t="array" ref="I50">IF(ISBLANK(F50), "", INDEX(Categories!$B:$B,MATCH(F50,Categories!$A:$A,0)))</f>
        <v/>
      </c>
      <c r="J50" s="4"/>
      <c r="K50" s="4"/>
      <c r="L50" s="4"/>
      <c r="M50" s="4"/>
      <c r="N50" s="4"/>
      <c r="O50" s="4"/>
      <c r="P50" s="4"/>
      <c r="Q50" s="4"/>
    </row>
    <row r="51">
      <c r="A51" s="5">
        <v>50.0</v>
      </c>
      <c r="B51" s="5" t="s">
        <v>94</v>
      </c>
      <c r="C51" s="5" t="s">
        <v>34</v>
      </c>
      <c r="D51" s="6">
        <f>IFERROR(__xludf.DUMMYFUNCTION("SPLIT(MID(C51,2,LEN(C51)-2), "","")"),228.0)</f>
        <v>228</v>
      </c>
      <c r="E51" s="7"/>
      <c r="F51" s="7"/>
      <c r="G51" s="2" t="str">
        <f t="array" ref="G51">IF(ISBLANK(D51), "", INDEX(Categories!$B:$B,MATCH(D51,Categories!$A:$A,0)))</f>
        <v>Restaurants</v>
      </c>
      <c r="H51" s="7" t="str">
        <f t="array" ref="H51">IF(ISBLANK(E51), "", INDEX(Categories!$B:$B,MATCH(E51,Categories!$A:$A,0)))</f>
        <v/>
      </c>
      <c r="I51" s="7" t="str">
        <f t="array" ref="I51">IF(ISBLANK(F51), "", INDEX(Categories!$B:$B,MATCH(F51,Categories!$A:$A,0)))</f>
        <v/>
      </c>
      <c r="J51" s="4"/>
      <c r="K51" s="4"/>
      <c r="L51" s="4"/>
      <c r="M51" s="4"/>
      <c r="N51" s="4"/>
      <c r="O51" s="4"/>
      <c r="P51" s="4"/>
      <c r="Q51" s="4"/>
    </row>
    <row r="52">
      <c r="A52" s="5">
        <v>51.0</v>
      </c>
      <c r="B52" s="5" t="s">
        <v>95</v>
      </c>
      <c r="C52" s="5" t="s">
        <v>96</v>
      </c>
      <c r="D52" s="6">
        <f>IFERROR(__xludf.DUMMYFUNCTION("SPLIT(MID(C52,2,LEN(C52)-2), "","")"),572.0)</f>
        <v>572</v>
      </c>
      <c r="E52" s="7"/>
      <c r="F52" s="7"/>
      <c r="G52" s="2" t="str">
        <f t="array" ref="G52">IF(ISBLANK(D52), "", INDEX(Categories!$B:$B,MATCH(D52,Categories!$A:$A,0)))</f>
        <v>Groceries</v>
      </c>
      <c r="H52" s="7" t="str">
        <f t="array" ref="H52">IF(ISBLANK(E52), "", INDEX(Categories!$B:$B,MATCH(E52,Categories!$A:$A,0)))</f>
        <v/>
      </c>
      <c r="I52" s="7" t="str">
        <f t="array" ref="I52">IF(ISBLANK(F52), "", INDEX(Categories!$B:$B,MATCH(F52,Categories!$A:$A,0)))</f>
        <v/>
      </c>
      <c r="J52" s="4"/>
      <c r="K52" s="4"/>
      <c r="L52" s="4"/>
      <c r="M52" s="4"/>
      <c r="N52" s="4"/>
      <c r="O52" s="4"/>
      <c r="P52" s="4"/>
      <c r="Q52" s="4"/>
    </row>
    <row r="53">
      <c r="A53" s="5">
        <v>52.0</v>
      </c>
      <c r="B53" s="5" t="s">
        <v>97</v>
      </c>
      <c r="C53" s="5" t="s">
        <v>62</v>
      </c>
      <c r="D53" s="6">
        <f>IFERROR(__xludf.DUMMYFUNCTION("SPLIT(MID(C53,2,LEN(C53)-2), "","")"),242.0)</f>
        <v>242</v>
      </c>
      <c r="E53" s="7"/>
      <c r="F53" s="7"/>
      <c r="G53" s="2" t="str">
        <f t="array" ref="G53">IF(ISBLANK(D53), "", INDEX(Categories!$B:$B,MATCH(D53,Categories!$A:$A,0)))</f>
        <v>Restaurants Pizza</v>
      </c>
      <c r="H53" s="7" t="str">
        <f t="array" ref="H53">IF(ISBLANK(E53), "", INDEX(Categories!$B:$B,MATCH(E53,Categories!$A:$A,0)))</f>
        <v/>
      </c>
      <c r="I53" s="7" t="str">
        <f t="array" ref="I53">IF(ISBLANK(F53), "", INDEX(Categories!$B:$B,MATCH(F53,Categories!$A:$A,0)))</f>
        <v/>
      </c>
      <c r="J53" s="4"/>
      <c r="K53" s="4"/>
      <c r="L53" s="4"/>
      <c r="M53" s="4"/>
      <c r="N53" s="4"/>
      <c r="O53" s="4"/>
      <c r="P53" s="4"/>
      <c r="Q53" s="4"/>
    </row>
    <row r="54">
      <c r="A54" s="5">
        <v>53.0</v>
      </c>
      <c r="B54" s="5" t="s">
        <v>98</v>
      </c>
      <c r="C54" s="5" t="s">
        <v>99</v>
      </c>
      <c r="D54" s="6">
        <f>IFERROR(__xludf.DUMMYFUNCTION("SPLIT(MID(C54,2,LEN(C54)-2), "","")"),2331.0)</f>
        <v>2331</v>
      </c>
      <c r="E54" s="7"/>
      <c r="F54" s="7"/>
      <c r="G54" s="2" t="str">
        <f t="array" ref="G54">IF(ISBLANK(D54), "", INDEX(Categories!$B:$B,MATCH(D54,Categories!$A:$A,0)))</f>
        <v>Donuts</v>
      </c>
      <c r="H54" s="7" t="str">
        <f t="array" ref="H54">IF(ISBLANK(E54), "", INDEX(Categories!$B:$B,MATCH(E54,Categories!$A:$A,0)))</f>
        <v/>
      </c>
      <c r="I54" s="7" t="str">
        <f t="array" ref="I54">IF(ISBLANK(F54), "", INDEX(Categories!$B:$B,MATCH(F54,Categories!$A:$A,0)))</f>
        <v/>
      </c>
      <c r="J54" s="4"/>
      <c r="K54" s="4"/>
      <c r="L54" s="4"/>
      <c r="M54" s="4"/>
      <c r="N54" s="4"/>
      <c r="O54" s="4"/>
      <c r="P54" s="4"/>
      <c r="Q54" s="4"/>
    </row>
    <row r="55">
      <c r="A55" s="5">
        <v>54.0</v>
      </c>
      <c r="B55" s="5" t="s">
        <v>100</v>
      </c>
      <c r="C55" s="5" t="s">
        <v>87</v>
      </c>
      <c r="D55" s="6">
        <f>IFERROR(__xludf.DUMMYFUNCTION("SPLIT(MID(C55,2,LEN(C55)-2), "","")"),168.0)</f>
        <v>168</v>
      </c>
      <c r="E55" s="7"/>
      <c r="F55" s="7"/>
      <c r="G55" s="2" t="str">
        <f t="array" ref="G55">IF(ISBLANK(D55), "", INDEX(Categories!$B:$B,MATCH(D55,Categories!$A:$A,0)))</f>
        <v>Hotels &amp; Motels</v>
      </c>
      <c r="H55" s="7" t="str">
        <f t="array" ref="H55">IF(ISBLANK(E55), "", INDEX(Categories!$B:$B,MATCH(E55,Categories!$A:$A,0)))</f>
        <v/>
      </c>
      <c r="I55" s="7" t="str">
        <f t="array" ref="I55">IF(ISBLANK(F55), "", INDEX(Categories!$B:$B,MATCH(F55,Categories!$A:$A,0)))</f>
        <v/>
      </c>
      <c r="J55" s="4"/>
      <c r="K55" s="4"/>
      <c r="L55" s="4"/>
      <c r="M55" s="4"/>
      <c r="N55" s="4"/>
      <c r="O55" s="4"/>
      <c r="P55" s="4"/>
      <c r="Q55" s="4"/>
    </row>
    <row r="56">
      <c r="A56" s="5">
        <v>55.0</v>
      </c>
      <c r="B56" s="5" t="s">
        <v>101</v>
      </c>
      <c r="C56" s="5" t="s">
        <v>102</v>
      </c>
      <c r="D56" s="6">
        <f>IFERROR(__xludf.DUMMYFUNCTION("SPLIT(MID(C56,2,LEN(C56)-2), "","")"),298.0)</f>
        <v>298</v>
      </c>
      <c r="E56" s="7"/>
      <c r="F56" s="7"/>
      <c r="G56" s="2" t="str">
        <f t="array" ref="G56">IF(ISBLANK(D56), "", INDEX(Categories!$B:$B,MATCH(D56,Categories!$A:$A,0)))</f>
        <v>Financial Services</v>
      </c>
      <c r="H56" s="7" t="str">
        <f t="array" ref="H56">IF(ISBLANK(E56), "", INDEX(Categories!$B:$B,MATCH(E56,Categories!$A:$A,0)))</f>
        <v/>
      </c>
      <c r="I56" s="7" t="str">
        <f t="array" ref="I56">IF(ISBLANK(F56), "", INDEX(Categories!$B:$B,MATCH(F56,Categories!$A:$A,0)))</f>
        <v/>
      </c>
      <c r="J56" s="4"/>
      <c r="K56" s="4"/>
      <c r="L56" s="4"/>
      <c r="M56" s="4"/>
      <c r="N56" s="4"/>
      <c r="O56" s="4"/>
      <c r="P56" s="4"/>
      <c r="Q56" s="4"/>
    </row>
    <row r="57">
      <c r="A57" s="5">
        <v>56.0</v>
      </c>
      <c r="B57" s="5" t="s">
        <v>103</v>
      </c>
      <c r="C57" s="5" t="s">
        <v>104</v>
      </c>
      <c r="D57" s="6">
        <f>IFERROR(__xludf.DUMMYFUNCTION("SPLIT(MID(C57,2,LEN(C57)-2), "","")"),1327.0)</f>
        <v>1327</v>
      </c>
      <c r="E57" s="7"/>
      <c r="F57" s="7"/>
      <c r="G57" s="2" t="str">
        <f t="array" ref="G57">IF(ISBLANK(D57), "", INDEX(Categories!$B:$B,MATCH(D57,Categories!$A:$A,0)))</f>
        <v>Investments Securities</v>
      </c>
      <c r="H57" s="7" t="str">
        <f t="array" ref="H57">IF(ISBLANK(E57), "", INDEX(Categories!$B:$B,MATCH(E57,Categories!$A:$A,0)))</f>
        <v/>
      </c>
      <c r="I57" s="7" t="str">
        <f t="array" ref="I57">IF(ISBLANK(F57), "", INDEX(Categories!$B:$B,MATCH(F57,Categories!$A:$A,0)))</f>
        <v/>
      </c>
      <c r="J57" s="4"/>
      <c r="K57" s="4"/>
      <c r="L57" s="4"/>
      <c r="M57" s="4"/>
      <c r="N57" s="4"/>
      <c r="O57" s="4"/>
      <c r="P57" s="4"/>
      <c r="Q57" s="4"/>
    </row>
    <row r="58">
      <c r="A58" s="5">
        <v>57.0</v>
      </c>
      <c r="B58" s="5" t="s">
        <v>105</v>
      </c>
      <c r="C58" s="5" t="s">
        <v>41</v>
      </c>
      <c r="D58" s="6">
        <f>IFERROR(__xludf.DUMMYFUNCTION("SPLIT(MID(C58,2,LEN(C58)-2), "","")"),93.0)</f>
        <v>93</v>
      </c>
      <c r="E58" s="7"/>
      <c r="F58" s="7"/>
      <c r="G58" s="2" t="str">
        <f t="array" ref="G58">IF(ISBLANK(D58), "", INDEX(Categories!$B:$B,MATCH(D58,Categories!$A:$A,0)))</f>
        <v>Automobile - Rentals</v>
      </c>
      <c r="H58" s="7" t="str">
        <f t="array" ref="H58">IF(ISBLANK(E58), "", INDEX(Categories!$B:$B,MATCH(E58,Categories!$A:$A,0)))</f>
        <v/>
      </c>
      <c r="I58" s="7" t="str">
        <f t="array" ref="I58">IF(ISBLANK(F58), "", INDEX(Categories!$B:$B,MATCH(F58,Categories!$A:$A,0)))</f>
        <v/>
      </c>
      <c r="J58" s="4"/>
      <c r="K58" s="4"/>
      <c r="L58" s="4"/>
      <c r="M58" s="4"/>
      <c r="N58" s="4"/>
      <c r="O58" s="4"/>
      <c r="P58" s="4"/>
      <c r="Q58" s="4"/>
    </row>
    <row r="59">
      <c r="A59" s="5">
        <v>58.0</v>
      </c>
      <c r="B59" s="5" t="s">
        <v>106</v>
      </c>
      <c r="C59" s="5" t="s">
        <v>107</v>
      </c>
      <c r="D59" s="6">
        <f>IFERROR(__xludf.DUMMYFUNCTION("SPLIT(MID(C59,2,LEN(C59)-2), "","")"),760.0)</f>
        <v>760</v>
      </c>
      <c r="E59" s="7"/>
      <c r="F59" s="7"/>
      <c r="G59" s="2" t="str">
        <f t="array" ref="G59">IF(ISBLANK(D59), "", INDEX(Categories!$B:$B,MATCH(D59,Categories!$A:$A,0)))</f>
        <v>Discount Stores</v>
      </c>
      <c r="H59" s="7" t="str">
        <f t="array" ref="H59">IF(ISBLANK(E59), "", INDEX(Categories!$B:$B,MATCH(E59,Categories!$A:$A,0)))</f>
        <v/>
      </c>
      <c r="I59" s="7" t="str">
        <f t="array" ref="I59">IF(ISBLANK(F59), "", INDEX(Categories!$B:$B,MATCH(F59,Categories!$A:$A,0)))</f>
        <v/>
      </c>
      <c r="J59" s="4"/>
      <c r="K59" s="4"/>
      <c r="L59" s="4"/>
      <c r="M59" s="4"/>
      <c r="N59" s="4"/>
      <c r="O59" s="4"/>
      <c r="P59" s="4"/>
      <c r="Q59" s="4"/>
    </row>
    <row r="60">
      <c r="A60" s="5">
        <v>59.0</v>
      </c>
      <c r="B60" s="5" t="s">
        <v>108</v>
      </c>
      <c r="C60" s="5" t="s">
        <v>109</v>
      </c>
      <c r="D60" s="6">
        <f>IFERROR(__xludf.DUMMYFUNCTION("SPLIT(MID(C60,2,LEN(C60)-2), "","")"),741.0)</f>
        <v>741</v>
      </c>
      <c r="E60" s="7"/>
      <c r="F60" s="7"/>
      <c r="G60" s="2" t="str">
        <f t="array" ref="G60">IF(ISBLANK(D60), "", INDEX(Categories!$B:$B,MATCH(D60,Categories!$A:$A,0)))</f>
        <v>Shoes</v>
      </c>
      <c r="H60" s="7" t="str">
        <f t="array" ref="H60">IF(ISBLANK(E60), "", INDEX(Categories!$B:$B,MATCH(E60,Categories!$A:$A,0)))</f>
        <v/>
      </c>
      <c r="I60" s="7" t="str">
        <f t="array" ref="I60">IF(ISBLANK(F60), "", INDEX(Categories!$B:$B,MATCH(F60,Categories!$A:$A,0)))</f>
        <v/>
      </c>
      <c r="J60" s="4"/>
      <c r="K60" s="4"/>
      <c r="L60" s="4"/>
      <c r="M60" s="4"/>
      <c r="N60" s="4"/>
      <c r="O60" s="4"/>
      <c r="P60" s="4"/>
      <c r="Q60" s="4"/>
    </row>
    <row r="61">
      <c r="A61" s="5">
        <v>60.0</v>
      </c>
      <c r="B61" s="5" t="s">
        <v>110</v>
      </c>
      <c r="C61" s="5" t="s">
        <v>111</v>
      </c>
      <c r="D61" s="6">
        <f>IFERROR(__xludf.DUMMYFUNCTION("SPLIT(MID(C61,2,LEN(C61)-2), "","")"),444.0)</f>
        <v>444</v>
      </c>
      <c r="E61" s="7"/>
      <c r="F61" s="7"/>
      <c r="G61" s="2" t="str">
        <f t="array" ref="G61">IF(ISBLANK(D61), "", INDEX(Categories!$B:$B,MATCH(D61,Categories!$A:$A,0)))</f>
        <v>Hair Salons &amp; Barbers</v>
      </c>
      <c r="H61" s="7" t="str">
        <f t="array" ref="H61">IF(ISBLANK(E61), "", INDEX(Categories!$B:$B,MATCH(E61,Categories!$A:$A,0)))</f>
        <v/>
      </c>
      <c r="I61" s="7" t="str">
        <f t="array" ref="I61">IF(ISBLANK(F61), "", INDEX(Categories!$B:$B,MATCH(F61,Categories!$A:$A,0)))</f>
        <v/>
      </c>
      <c r="J61" s="4"/>
      <c r="K61" s="4"/>
      <c r="L61" s="4"/>
      <c r="M61" s="4"/>
      <c r="N61" s="4"/>
      <c r="O61" s="4"/>
      <c r="P61" s="4"/>
      <c r="Q61" s="4"/>
    </row>
    <row r="62">
      <c r="A62" s="5">
        <v>61.0</v>
      </c>
      <c r="B62" s="5" t="s">
        <v>112</v>
      </c>
      <c r="C62" s="5" t="s">
        <v>18</v>
      </c>
      <c r="D62" s="6">
        <f>IFERROR(__xludf.DUMMYFUNCTION("SPLIT(MID(C62,2,LEN(C62)-2), "","")"),121.0)</f>
        <v>121</v>
      </c>
      <c r="E62" s="7"/>
      <c r="F62" s="7"/>
      <c r="G62" s="2" t="str">
        <f t="array" ref="G62">IF(ISBLANK(D62), "", INDEX(Categories!$B:$B,MATCH(D62,Categories!$A:$A,0)))</f>
        <v>Insurance</v>
      </c>
      <c r="H62" s="7" t="str">
        <f t="array" ref="H62">IF(ISBLANK(E62), "", INDEX(Categories!$B:$B,MATCH(E62,Categories!$A:$A,0)))</f>
        <v/>
      </c>
      <c r="I62" s="7" t="str">
        <f t="array" ref="I62">IF(ISBLANK(F62), "", INDEX(Categories!$B:$B,MATCH(F62,Categories!$A:$A,0)))</f>
        <v/>
      </c>
      <c r="J62" s="4"/>
      <c r="K62" s="4"/>
      <c r="L62" s="4"/>
      <c r="M62" s="4"/>
      <c r="N62" s="4"/>
      <c r="O62" s="4"/>
      <c r="P62" s="4"/>
      <c r="Q62" s="4"/>
    </row>
    <row r="63">
      <c r="A63" s="5">
        <v>62.0</v>
      </c>
      <c r="B63" s="5" t="s">
        <v>113</v>
      </c>
      <c r="C63" s="5" t="s">
        <v>18</v>
      </c>
      <c r="D63" s="6">
        <f>IFERROR(__xludf.DUMMYFUNCTION("SPLIT(MID(C63,2,LEN(C63)-2), "","")"),121.0)</f>
        <v>121</v>
      </c>
      <c r="E63" s="7"/>
      <c r="F63" s="7"/>
      <c r="G63" s="2" t="str">
        <f t="array" ref="G63">IF(ISBLANK(D63), "", INDEX(Categories!$B:$B,MATCH(D63,Categories!$A:$A,0)))</f>
        <v>Insurance</v>
      </c>
      <c r="H63" s="7" t="str">
        <f t="array" ref="H63">IF(ISBLANK(E63), "", INDEX(Categories!$B:$B,MATCH(E63,Categories!$A:$A,0)))</f>
        <v/>
      </c>
      <c r="I63" s="7" t="str">
        <f t="array" ref="I63">IF(ISBLANK(F63), "", INDEX(Categories!$B:$B,MATCH(F63,Categories!$A:$A,0)))</f>
        <v/>
      </c>
      <c r="J63" s="4"/>
      <c r="K63" s="4"/>
      <c r="L63" s="4"/>
      <c r="M63" s="4"/>
      <c r="N63" s="4"/>
      <c r="O63" s="4"/>
      <c r="P63" s="4"/>
      <c r="Q63" s="4"/>
    </row>
    <row r="64">
      <c r="A64" s="5">
        <v>63.0</v>
      </c>
      <c r="B64" s="5" t="s">
        <v>114</v>
      </c>
      <c r="C64" s="5" t="s">
        <v>115</v>
      </c>
      <c r="D64" s="6">
        <f>IFERROR(__xludf.DUMMYFUNCTION("SPLIT(MID(C64,2,LEN(C64)-2), "","")"),1272.0)</f>
        <v>1272</v>
      </c>
      <c r="E64" s="7"/>
      <c r="F64" s="7"/>
      <c r="G64" s="2" t="str">
        <f t="array" ref="G64">IF(ISBLANK(D64), "", INDEX(Categories!$B:$B,MATCH(D64,Categories!$A:$A,0)))</f>
        <v>Womens Apparel</v>
      </c>
      <c r="H64" s="7" t="str">
        <f t="array" ref="H64">IF(ISBLANK(E64), "", INDEX(Categories!$B:$B,MATCH(E64,Categories!$A:$A,0)))</f>
        <v/>
      </c>
      <c r="I64" s="7" t="str">
        <f t="array" ref="I64">IF(ISBLANK(F64), "", INDEX(Categories!$B:$B,MATCH(F64,Categories!$A:$A,0)))</f>
        <v/>
      </c>
      <c r="J64" s="4"/>
      <c r="K64" s="4"/>
      <c r="L64" s="4"/>
      <c r="M64" s="4"/>
      <c r="N64" s="4"/>
      <c r="O64" s="4"/>
      <c r="P64" s="4"/>
      <c r="Q64" s="4"/>
    </row>
    <row r="65">
      <c r="A65" s="5">
        <v>64.0</v>
      </c>
      <c r="B65" s="5" t="s">
        <v>116</v>
      </c>
      <c r="C65" s="5" t="s">
        <v>30</v>
      </c>
      <c r="D65" s="6">
        <f>IFERROR(__xludf.DUMMYFUNCTION("SPLIT(MID(C65,2,LEN(C65)-2), "","")"),1141.0)</f>
        <v>1141</v>
      </c>
      <c r="E65" s="7"/>
      <c r="F65" s="7"/>
      <c r="G65" s="2" t="str">
        <f t="array" ref="G65">IF(ISBLANK(D65), "", INDEX(Categories!$B:$B,MATCH(D65,Categories!$A:$A,0)))</f>
        <v>Gas Liquefied Petroleum Bottled &amp; Bulk Retail</v>
      </c>
      <c r="H65" s="7" t="str">
        <f t="array" ref="H65">IF(ISBLANK(E65), "", INDEX(Categories!$B:$B,MATCH(E65,Categories!$A:$A,0)))</f>
        <v/>
      </c>
      <c r="I65" s="7" t="str">
        <f t="array" ref="I65">IF(ISBLANK(F65), "", INDEX(Categories!$B:$B,MATCH(F65,Categories!$A:$A,0)))</f>
        <v/>
      </c>
      <c r="J65" s="4"/>
      <c r="K65" s="4"/>
      <c r="L65" s="4"/>
      <c r="M65" s="4"/>
      <c r="N65" s="4"/>
      <c r="O65" s="4"/>
      <c r="P65" s="4"/>
      <c r="Q65" s="4"/>
    </row>
    <row r="66">
      <c r="A66" s="5">
        <v>65.0</v>
      </c>
      <c r="B66" s="5" t="s">
        <v>117</v>
      </c>
      <c r="C66" s="5" t="s">
        <v>109</v>
      </c>
      <c r="D66" s="6">
        <f>IFERROR(__xludf.DUMMYFUNCTION("SPLIT(MID(C66,2,LEN(C66)-2), "","")"),741.0)</f>
        <v>741</v>
      </c>
      <c r="E66" s="7"/>
      <c r="F66" s="7"/>
      <c r="G66" s="2" t="str">
        <f t="array" ref="G66">IF(ISBLANK(D66), "", INDEX(Categories!$B:$B,MATCH(D66,Categories!$A:$A,0)))</f>
        <v>Shoes</v>
      </c>
      <c r="H66" s="7" t="str">
        <f t="array" ref="H66">IF(ISBLANK(E66), "", INDEX(Categories!$B:$B,MATCH(E66,Categories!$A:$A,0)))</f>
        <v/>
      </c>
      <c r="I66" s="7" t="str">
        <f t="array" ref="I66">IF(ISBLANK(F66), "", INDEX(Categories!$B:$B,MATCH(F66,Categories!$A:$A,0)))</f>
        <v/>
      </c>
      <c r="J66" s="4"/>
      <c r="K66" s="4"/>
      <c r="L66" s="4"/>
      <c r="M66" s="4"/>
      <c r="N66" s="4"/>
      <c r="O66" s="4"/>
      <c r="P66" s="4"/>
      <c r="Q66" s="4"/>
    </row>
    <row r="67">
      <c r="A67" s="5">
        <v>66.0</v>
      </c>
      <c r="B67" s="5" t="s">
        <v>118</v>
      </c>
      <c r="C67" s="5" t="s">
        <v>119</v>
      </c>
      <c r="D67" s="6">
        <f>IFERROR(__xludf.DUMMYFUNCTION("SPLIT(MID(C67,2,LEN(C67)-2), "","")"),590.0)</f>
        <v>590</v>
      </c>
      <c r="E67" s="7"/>
      <c r="F67" s="7"/>
      <c r="G67" s="2" t="str">
        <f t="array" ref="G67">IF(ISBLANK(D67), "", INDEX(Categories!$B:$B,MATCH(D67,Categories!$A:$A,0)))</f>
        <v>Grocers</v>
      </c>
      <c r="H67" s="7" t="str">
        <f t="array" ref="H67">IF(ISBLANK(E67), "", INDEX(Categories!$B:$B,MATCH(E67,Categories!$A:$A,0)))</f>
        <v/>
      </c>
      <c r="I67" s="7" t="str">
        <f t="array" ref="I67">IF(ISBLANK(F67), "", INDEX(Categories!$B:$B,MATCH(F67,Categories!$A:$A,0)))</f>
        <v/>
      </c>
      <c r="J67" s="4"/>
      <c r="K67" s="4"/>
      <c r="L67" s="4"/>
      <c r="M67" s="4"/>
      <c r="N67" s="4"/>
      <c r="O67" s="4"/>
      <c r="P67" s="4"/>
      <c r="Q67" s="4"/>
    </row>
    <row r="68">
      <c r="A68" s="5">
        <v>67.0</v>
      </c>
      <c r="B68" s="5" t="s">
        <v>120</v>
      </c>
      <c r="C68" s="5" t="s">
        <v>121</v>
      </c>
      <c r="D68" s="6">
        <f>IFERROR(__xludf.DUMMYFUNCTION("SPLIT(MID(C68,2,LEN(C68)-2), "","")"),1261.0)</f>
        <v>1261</v>
      </c>
      <c r="E68" s="7"/>
      <c r="F68" s="7"/>
      <c r="G68" s="2" t="str">
        <f t="array" ref="G68">IF(ISBLANK(D68), "", INDEX(Categories!$B:$B,MATCH(D68,Categories!$A:$A,0)))</f>
        <v>Mens Clothing &amp; Furnishings</v>
      </c>
      <c r="H68" s="7" t="str">
        <f t="array" ref="H68">IF(ISBLANK(E68), "", INDEX(Categories!$B:$B,MATCH(E68,Categories!$A:$A,0)))</f>
        <v/>
      </c>
      <c r="I68" s="7" t="str">
        <f t="array" ref="I68">IF(ISBLANK(F68), "", INDEX(Categories!$B:$B,MATCH(F68,Categories!$A:$A,0)))</f>
        <v/>
      </c>
      <c r="J68" s="4"/>
      <c r="K68" s="4"/>
      <c r="L68" s="4"/>
      <c r="M68" s="4"/>
      <c r="N68" s="4"/>
      <c r="O68" s="4"/>
      <c r="P68" s="4"/>
      <c r="Q68" s="4"/>
    </row>
    <row r="69">
      <c r="A69" s="5">
        <v>68.0</v>
      </c>
      <c r="B69" s="5" t="s">
        <v>122</v>
      </c>
      <c r="C69" s="5" t="s">
        <v>123</v>
      </c>
      <c r="D69" s="6">
        <f>IFERROR(__xludf.DUMMYFUNCTION("SPLIT(MID(C69,2,LEN(C69)-2), "","")"),860.0)</f>
        <v>860</v>
      </c>
      <c r="E69" s="7"/>
      <c r="F69" s="7"/>
      <c r="G69" s="2" t="str">
        <f t="array" ref="G69">IF(ISBLANK(D69), "", INDEX(Categories!$B:$B,MATCH(D69,Categories!$A:$A,0)))</f>
        <v>Health &amp; Diet Food Products</v>
      </c>
      <c r="H69" s="7" t="str">
        <f t="array" ref="H69">IF(ISBLANK(E69), "", INDEX(Categories!$B:$B,MATCH(E69,Categories!$A:$A,0)))</f>
        <v/>
      </c>
      <c r="I69" s="7" t="str">
        <f t="array" ref="I69">IF(ISBLANK(F69), "", INDEX(Categories!$B:$B,MATCH(F69,Categories!$A:$A,0)))</f>
        <v/>
      </c>
      <c r="J69" s="4"/>
      <c r="K69" s="4"/>
      <c r="L69" s="4"/>
      <c r="M69" s="4"/>
      <c r="N69" s="4"/>
      <c r="O69" s="4"/>
      <c r="P69" s="4"/>
      <c r="Q69" s="4"/>
    </row>
    <row r="70">
      <c r="A70" s="5">
        <v>69.0</v>
      </c>
      <c r="B70" s="5" t="s">
        <v>124</v>
      </c>
      <c r="C70" s="5" t="s">
        <v>125</v>
      </c>
      <c r="D70" s="6">
        <f>IFERROR(__xludf.DUMMYFUNCTION("SPLIT(MID(C70,2,LEN(C70)-2), "","")"),423.0)</f>
        <v>423</v>
      </c>
      <c r="E70" s="7"/>
      <c r="F70" s="7"/>
      <c r="G70" s="2" t="str">
        <f t="array" ref="G70">IF(ISBLANK(D70), "", INDEX(Categories!$B:$B,MATCH(D70,Categories!$A:$A,0)))</f>
        <v>Religious Organizations</v>
      </c>
      <c r="H70" s="7" t="str">
        <f t="array" ref="H70">IF(ISBLANK(E70), "", INDEX(Categories!$B:$B,MATCH(E70,Categories!$A:$A,0)))</f>
        <v/>
      </c>
      <c r="I70" s="7" t="str">
        <f t="array" ref="I70">IF(ISBLANK(F70), "", INDEX(Categories!$B:$B,MATCH(F70,Categories!$A:$A,0)))</f>
        <v/>
      </c>
      <c r="J70" s="4"/>
      <c r="K70" s="4"/>
      <c r="L70" s="4"/>
      <c r="M70" s="4"/>
      <c r="N70" s="4"/>
      <c r="O70" s="4"/>
      <c r="P70" s="4"/>
      <c r="Q70" s="4"/>
    </row>
    <row r="71">
      <c r="A71" s="5">
        <v>70.0</v>
      </c>
      <c r="B71" s="5" t="s">
        <v>126</v>
      </c>
      <c r="C71" s="5" t="s">
        <v>12</v>
      </c>
      <c r="D71" s="6">
        <f>IFERROR(__xludf.DUMMYFUNCTION("SPLIT(MID(C71,2,LEN(C71)-2), "","")"),469.0)</f>
        <v>469</v>
      </c>
      <c r="E71" s="7"/>
      <c r="F71" s="7"/>
      <c r="G71" s="2" t="str">
        <f t="array" ref="G71">IF(ISBLANK(D71), "", INDEX(Categories!$B:$B,MATCH(D71,Categories!$A:$A,0)))</f>
        <v>Automobile - Repairs &amp; Services</v>
      </c>
      <c r="H71" s="7" t="str">
        <f t="array" ref="H71">IF(ISBLANK(E71), "", INDEX(Categories!$B:$B,MATCH(E71,Categories!$A:$A,0)))</f>
        <v/>
      </c>
      <c r="I71" s="7" t="str">
        <f t="array" ref="I71">IF(ISBLANK(F71), "", INDEX(Categories!$B:$B,MATCH(F71,Categories!$A:$A,0)))</f>
        <v/>
      </c>
      <c r="J71" s="4"/>
      <c r="K71" s="4"/>
      <c r="L71" s="4"/>
      <c r="M71" s="4"/>
      <c r="N71" s="4"/>
      <c r="O71" s="4"/>
      <c r="P71" s="4"/>
      <c r="Q71" s="4"/>
    </row>
    <row r="72">
      <c r="A72" s="5">
        <v>71.0</v>
      </c>
      <c r="B72" s="5" t="s">
        <v>127</v>
      </c>
      <c r="C72" s="5" t="s">
        <v>128</v>
      </c>
      <c r="D72" s="6">
        <f>IFERROR(__xludf.DUMMYFUNCTION("SPLIT(MID(C72,2,LEN(C72)-2), "","")"),110.0)</f>
        <v>110</v>
      </c>
      <c r="E72" s="7"/>
      <c r="F72" s="7"/>
      <c r="G72" s="2" t="str">
        <f t="array" ref="G72">IF(ISBLANK(D72), "", INDEX(Categories!$B:$B,MATCH(D72,Categories!$A:$A,0)))</f>
        <v>Automobile - Tires</v>
      </c>
      <c r="H72" s="7" t="str">
        <f t="array" ref="H72">IF(ISBLANK(E72), "", INDEX(Categories!$B:$B,MATCH(E72,Categories!$A:$A,0)))</f>
        <v/>
      </c>
      <c r="I72" s="7" t="str">
        <f t="array" ref="I72">IF(ISBLANK(F72), "", INDEX(Categories!$B:$B,MATCH(F72,Categories!$A:$A,0)))</f>
        <v/>
      </c>
      <c r="J72" s="4"/>
      <c r="K72" s="4"/>
      <c r="L72" s="4"/>
      <c r="M72" s="4"/>
      <c r="N72" s="4"/>
      <c r="O72" s="4"/>
      <c r="P72" s="4"/>
      <c r="Q72" s="4"/>
    </row>
    <row r="73">
      <c r="A73" s="5">
        <v>72.0</v>
      </c>
      <c r="B73" s="5" t="s">
        <v>129</v>
      </c>
      <c r="C73" s="5" t="s">
        <v>130</v>
      </c>
      <c r="D73" s="6">
        <f>IFERROR(__xludf.DUMMYFUNCTION("SPLIT(MID(C73,2,LEN(C73)-2), "","")"),1471.0)</f>
        <v>1471</v>
      </c>
      <c r="E73" s="7"/>
      <c r="F73" s="7"/>
      <c r="G73" s="2" t="str">
        <f t="array" ref="G73">IF(ISBLANK(D73), "", INDEX(Categories!$B:$B,MATCH(D73,Categories!$A:$A,0)))</f>
        <v>Bus Lines</v>
      </c>
      <c r="H73" s="7" t="str">
        <f t="array" ref="H73">IF(ISBLANK(E73), "", INDEX(Categories!$B:$B,MATCH(E73,Categories!$A:$A,0)))</f>
        <v/>
      </c>
      <c r="I73" s="7" t="str">
        <f t="array" ref="I73">IF(ISBLANK(F73), "", INDEX(Categories!$B:$B,MATCH(F73,Categories!$A:$A,0)))</f>
        <v/>
      </c>
      <c r="J73" s="4"/>
      <c r="K73" s="4"/>
      <c r="L73" s="4"/>
      <c r="M73" s="4"/>
      <c r="N73" s="4"/>
      <c r="O73" s="4"/>
      <c r="P73" s="4"/>
      <c r="Q73" s="4"/>
    </row>
    <row r="74">
      <c r="A74" s="5">
        <v>73.0</v>
      </c>
      <c r="B74" s="5" t="s">
        <v>131</v>
      </c>
      <c r="C74" s="5" t="s">
        <v>87</v>
      </c>
      <c r="D74" s="6">
        <f>IFERROR(__xludf.DUMMYFUNCTION("SPLIT(MID(C74,2,LEN(C74)-2), "","")"),168.0)</f>
        <v>168</v>
      </c>
      <c r="E74" s="7"/>
      <c r="F74" s="7"/>
      <c r="G74" s="2" t="str">
        <f t="array" ref="G74">IF(ISBLANK(D74), "", INDEX(Categories!$B:$B,MATCH(D74,Categories!$A:$A,0)))</f>
        <v>Hotels &amp; Motels</v>
      </c>
      <c r="H74" s="7" t="str">
        <f t="array" ref="H74">IF(ISBLANK(E74), "", INDEX(Categories!$B:$B,MATCH(E74,Categories!$A:$A,0)))</f>
        <v/>
      </c>
      <c r="I74" s="7" t="str">
        <f t="array" ref="I74">IF(ISBLANK(F74), "", INDEX(Categories!$B:$B,MATCH(F74,Categories!$A:$A,0)))</f>
        <v/>
      </c>
      <c r="J74" s="4"/>
      <c r="K74" s="4"/>
      <c r="L74" s="4"/>
      <c r="M74" s="4"/>
      <c r="N74" s="4"/>
      <c r="O74" s="4"/>
      <c r="P74" s="4"/>
      <c r="Q74" s="4"/>
    </row>
    <row r="75">
      <c r="A75" s="5">
        <v>74.0</v>
      </c>
      <c r="B75" s="5" t="s">
        <v>132</v>
      </c>
      <c r="C75" s="5" t="s">
        <v>60</v>
      </c>
      <c r="D75" s="6">
        <f>IFERROR(__xludf.DUMMYFUNCTION("SPLIT(MID(C75,2,LEN(C75)-2), "","")"),240.0)</f>
        <v>240</v>
      </c>
      <c r="E75" s="7"/>
      <c r="F75" s="7"/>
      <c r="G75" s="2" t="str">
        <f t="array" ref="G75">IF(ISBLANK(D75), "", INDEX(Categories!$B:$B,MATCH(D75,Categories!$A:$A,0)))</f>
        <v>Restaurants Fast Food</v>
      </c>
      <c r="H75" s="7" t="str">
        <f t="array" ref="H75">IF(ISBLANK(E75), "", INDEX(Categories!$B:$B,MATCH(E75,Categories!$A:$A,0)))</f>
        <v/>
      </c>
      <c r="I75" s="7" t="str">
        <f t="array" ref="I75">IF(ISBLANK(F75), "", INDEX(Categories!$B:$B,MATCH(F75,Categories!$A:$A,0)))</f>
        <v/>
      </c>
      <c r="J75" s="4"/>
      <c r="K75" s="4"/>
      <c r="L75" s="4"/>
      <c r="M75" s="4"/>
      <c r="N75" s="4"/>
      <c r="O75" s="4"/>
      <c r="P75" s="4"/>
      <c r="Q75" s="4"/>
    </row>
    <row r="76">
      <c r="A76" s="5">
        <v>75.0</v>
      </c>
      <c r="B76" s="5" t="s">
        <v>133</v>
      </c>
      <c r="C76" s="5" t="s">
        <v>123</v>
      </c>
      <c r="D76" s="6">
        <f>IFERROR(__xludf.DUMMYFUNCTION("SPLIT(MID(C76,2,LEN(C76)-2), "","")"),860.0)</f>
        <v>860</v>
      </c>
      <c r="E76" s="7"/>
      <c r="F76" s="7"/>
      <c r="G76" s="2" t="str">
        <f t="array" ref="G76">IF(ISBLANK(D76), "", INDEX(Categories!$B:$B,MATCH(D76,Categories!$A:$A,0)))</f>
        <v>Health &amp; Diet Food Products</v>
      </c>
      <c r="H76" s="7" t="str">
        <f t="array" ref="H76">IF(ISBLANK(E76), "", INDEX(Categories!$B:$B,MATCH(E76,Categories!$A:$A,0)))</f>
        <v/>
      </c>
      <c r="I76" s="7" t="str">
        <f t="array" ref="I76">IF(ISBLANK(F76), "", INDEX(Categories!$B:$B,MATCH(F76,Categories!$A:$A,0)))</f>
        <v/>
      </c>
      <c r="J76" s="4"/>
      <c r="K76" s="4"/>
      <c r="L76" s="4"/>
      <c r="M76" s="4"/>
      <c r="N76" s="4"/>
      <c r="O76" s="4"/>
      <c r="P76" s="4"/>
      <c r="Q76" s="4"/>
    </row>
    <row r="77">
      <c r="A77" s="5">
        <v>76.0</v>
      </c>
      <c r="B77" s="5" t="s">
        <v>134</v>
      </c>
      <c r="C77" s="5" t="s">
        <v>135</v>
      </c>
      <c r="D77" s="6">
        <f>IFERROR(__xludf.DUMMYFUNCTION("SPLIT(MID(C77,2,LEN(C77)-2), "","")"),96.0)</f>
        <v>96</v>
      </c>
      <c r="E77" s="7"/>
      <c r="F77" s="7"/>
      <c r="G77" s="2" t="str">
        <f t="array" ref="G77">IF(ISBLANK(D77), "", INDEX(Categories!$B:$B,MATCH(D77,Categories!$A:$A,0)))</f>
        <v>Truck Renting &amp; Leasing</v>
      </c>
      <c r="H77" s="7" t="str">
        <f t="array" ref="H77">IF(ISBLANK(E77), "", INDEX(Categories!$B:$B,MATCH(E77,Categories!$A:$A,0)))</f>
        <v/>
      </c>
      <c r="I77" s="7" t="str">
        <f t="array" ref="I77">IF(ISBLANK(F77), "", INDEX(Categories!$B:$B,MATCH(F77,Categories!$A:$A,0)))</f>
        <v/>
      </c>
      <c r="J77" s="4"/>
      <c r="K77" s="4"/>
      <c r="L77" s="4"/>
      <c r="M77" s="4"/>
      <c r="N77" s="4"/>
      <c r="O77" s="4"/>
      <c r="P77" s="4"/>
      <c r="Q77" s="4"/>
    </row>
    <row r="78">
      <c r="A78" s="5">
        <v>77.0</v>
      </c>
      <c r="B78" s="5" t="s">
        <v>136</v>
      </c>
      <c r="C78" s="5" t="s">
        <v>87</v>
      </c>
      <c r="D78" s="6">
        <f>IFERROR(__xludf.DUMMYFUNCTION("SPLIT(MID(C78,2,LEN(C78)-2), "","")"),168.0)</f>
        <v>168</v>
      </c>
      <c r="E78" s="7"/>
      <c r="F78" s="7"/>
      <c r="G78" s="2" t="str">
        <f t="array" ref="G78">IF(ISBLANK(D78), "", INDEX(Categories!$B:$B,MATCH(D78,Categories!$A:$A,0)))</f>
        <v>Hotels &amp; Motels</v>
      </c>
      <c r="H78" s="7" t="str">
        <f t="array" ref="H78">IF(ISBLANK(E78), "", INDEX(Categories!$B:$B,MATCH(E78,Categories!$A:$A,0)))</f>
        <v/>
      </c>
      <c r="I78" s="7" t="str">
        <f t="array" ref="I78">IF(ISBLANK(F78), "", INDEX(Categories!$B:$B,MATCH(F78,Categories!$A:$A,0)))</f>
        <v/>
      </c>
      <c r="J78" s="4"/>
      <c r="K78" s="4"/>
      <c r="L78" s="4"/>
      <c r="M78" s="4"/>
      <c r="N78" s="4"/>
      <c r="O78" s="4"/>
      <c r="P78" s="4"/>
      <c r="Q78" s="4"/>
    </row>
    <row r="79">
      <c r="A79" s="5">
        <v>78.0</v>
      </c>
      <c r="B79" s="5" t="s">
        <v>137</v>
      </c>
      <c r="C79" s="5" t="s">
        <v>34</v>
      </c>
      <c r="D79" s="6">
        <f>IFERROR(__xludf.DUMMYFUNCTION("SPLIT(MID(C79,2,LEN(C79)-2), "","")"),228.0)</f>
        <v>228</v>
      </c>
      <c r="E79" s="7"/>
      <c r="F79" s="7"/>
      <c r="G79" s="2" t="str">
        <f t="array" ref="G79">IF(ISBLANK(D79), "", INDEX(Categories!$B:$B,MATCH(D79,Categories!$A:$A,0)))</f>
        <v>Restaurants</v>
      </c>
      <c r="H79" s="7" t="str">
        <f t="array" ref="H79">IF(ISBLANK(E79), "", INDEX(Categories!$B:$B,MATCH(E79,Categories!$A:$A,0)))</f>
        <v/>
      </c>
      <c r="I79" s="7" t="str">
        <f t="array" ref="I79">IF(ISBLANK(F79), "", INDEX(Categories!$B:$B,MATCH(F79,Categories!$A:$A,0)))</f>
        <v/>
      </c>
      <c r="J79" s="4"/>
      <c r="K79" s="4"/>
      <c r="L79" s="4"/>
      <c r="M79" s="4"/>
      <c r="N79" s="4"/>
      <c r="O79" s="4"/>
      <c r="P79" s="4"/>
      <c r="Q79" s="4"/>
    </row>
    <row r="80">
      <c r="A80" s="5">
        <v>79.0</v>
      </c>
      <c r="B80" s="5" t="s">
        <v>138</v>
      </c>
      <c r="C80" s="5" t="s">
        <v>139</v>
      </c>
      <c r="D80" s="6">
        <f>IFERROR(__xludf.DUMMYFUNCTION("SPLIT(MID(C80,2,LEN(C80)-2), "","")"),1617.0)</f>
        <v>1617</v>
      </c>
      <c r="E80" s="7"/>
      <c r="F80" s="7"/>
      <c r="G80" s="2" t="str">
        <f t="array" ref="G80">IF(ISBLANK(D80), "", INDEX(Categories!$B:$B,MATCH(D80,Categories!$A:$A,0)))</f>
        <v>Department Stores</v>
      </c>
      <c r="H80" s="7" t="str">
        <f t="array" ref="H80">IF(ISBLANK(E80), "", INDEX(Categories!$B:$B,MATCH(E80,Categories!$A:$A,0)))</f>
        <v/>
      </c>
      <c r="I80" s="7" t="str">
        <f t="array" ref="I80">IF(ISBLANK(F80), "", INDEX(Categories!$B:$B,MATCH(F80,Categories!$A:$A,0)))</f>
        <v/>
      </c>
      <c r="J80" s="4"/>
      <c r="K80" s="4"/>
      <c r="L80" s="4"/>
      <c r="M80" s="4"/>
      <c r="N80" s="4"/>
      <c r="O80" s="4"/>
      <c r="P80" s="4"/>
      <c r="Q80" s="4"/>
    </row>
    <row r="81">
      <c r="A81" s="5">
        <v>80.0</v>
      </c>
      <c r="B81" s="5" t="s">
        <v>140</v>
      </c>
      <c r="C81" s="5" t="s">
        <v>60</v>
      </c>
      <c r="D81" s="6">
        <f>IFERROR(__xludf.DUMMYFUNCTION("SPLIT(MID(C81,2,LEN(C81)-2), "","")"),240.0)</f>
        <v>240</v>
      </c>
      <c r="E81" s="7"/>
      <c r="F81" s="7"/>
      <c r="G81" s="2" t="str">
        <f t="array" ref="G81">IF(ISBLANK(D81), "", INDEX(Categories!$B:$B,MATCH(D81,Categories!$A:$A,0)))</f>
        <v>Restaurants Fast Food</v>
      </c>
      <c r="H81" s="7" t="str">
        <f t="array" ref="H81">IF(ISBLANK(E81), "", INDEX(Categories!$B:$B,MATCH(E81,Categories!$A:$A,0)))</f>
        <v/>
      </c>
      <c r="I81" s="7" t="str">
        <f t="array" ref="I81">IF(ISBLANK(F81), "", INDEX(Categories!$B:$B,MATCH(F81,Categories!$A:$A,0)))</f>
        <v/>
      </c>
      <c r="J81" s="4"/>
      <c r="K81" s="4"/>
      <c r="L81" s="4"/>
      <c r="M81" s="4"/>
      <c r="N81" s="4"/>
      <c r="O81" s="4"/>
      <c r="P81" s="4"/>
      <c r="Q81" s="4"/>
    </row>
    <row r="82">
      <c r="A82" s="5">
        <v>81.0</v>
      </c>
      <c r="B82" s="5" t="s">
        <v>141</v>
      </c>
      <c r="C82" s="5" t="s">
        <v>53</v>
      </c>
      <c r="D82" s="6">
        <f>IFERROR(__xludf.DUMMYFUNCTION("SPLIT(MID(C82,2,LEN(C82)-2), "","")"),714.0)</f>
        <v>714</v>
      </c>
      <c r="E82" s="7"/>
      <c r="F82" s="7"/>
      <c r="G82" s="2" t="str">
        <f t="array" ref="G82">IF(ISBLANK(D82), "", INDEX(Categories!$B:$B,MATCH(D82,Categories!$A:$A,0)))</f>
        <v>Tax Return Preparation &amp; Filing</v>
      </c>
      <c r="H82" s="7" t="str">
        <f t="array" ref="H82">IF(ISBLANK(E82), "", INDEX(Categories!$B:$B,MATCH(E82,Categories!$A:$A,0)))</f>
        <v/>
      </c>
      <c r="I82" s="7" t="str">
        <f t="array" ref="I82">IF(ISBLANK(F82), "", INDEX(Categories!$B:$B,MATCH(F82,Categories!$A:$A,0)))</f>
        <v/>
      </c>
      <c r="J82" s="4"/>
      <c r="K82" s="4"/>
      <c r="L82" s="4"/>
      <c r="M82" s="4"/>
      <c r="N82" s="4"/>
      <c r="O82" s="4"/>
      <c r="P82" s="4"/>
      <c r="Q82" s="4"/>
    </row>
    <row r="83">
      <c r="A83" s="5">
        <v>82.0</v>
      </c>
      <c r="B83" s="5" t="s">
        <v>142</v>
      </c>
      <c r="C83" s="5" t="s">
        <v>143</v>
      </c>
      <c r="D83" s="6">
        <f>IFERROR(__xludf.DUMMYFUNCTION("SPLIT(MID(C83,2,LEN(C83)-2), "","")"),402.0)</f>
        <v>402</v>
      </c>
      <c r="E83" s="7"/>
      <c r="F83" s="7"/>
      <c r="G83" s="2" t="str">
        <f t="array" ref="G83">IF(ISBLANK(D83), "", INDEX(Categories!$B:$B,MATCH(D83,Categories!$A:$A,0)))</f>
        <v>Churches Jehovahs Witness</v>
      </c>
      <c r="H83" s="7" t="str">
        <f t="array" ref="H83">IF(ISBLANK(E83), "", INDEX(Categories!$B:$B,MATCH(E83,Categories!$A:$A,0)))</f>
        <v/>
      </c>
      <c r="I83" s="7" t="str">
        <f t="array" ref="I83">IF(ISBLANK(F83), "", INDEX(Categories!$B:$B,MATCH(F83,Categories!$A:$A,0)))</f>
        <v/>
      </c>
      <c r="J83" s="4"/>
      <c r="K83" s="4"/>
      <c r="L83" s="4"/>
      <c r="M83" s="4"/>
      <c r="N83" s="4"/>
      <c r="O83" s="4"/>
      <c r="P83" s="4"/>
      <c r="Q83" s="4"/>
    </row>
    <row r="84">
      <c r="A84" s="5">
        <v>83.0</v>
      </c>
      <c r="B84" s="5" t="s">
        <v>144</v>
      </c>
      <c r="C84" s="5" t="s">
        <v>145</v>
      </c>
      <c r="D84" s="6">
        <f>IFERROR(__xludf.DUMMYFUNCTION("SPLIT(MID(C84,2,LEN(C84)-2), "","")"),476.0)</f>
        <v>476</v>
      </c>
      <c r="E84" s="7"/>
      <c r="F84" s="7"/>
      <c r="G84" s="2" t="str">
        <f t="array" ref="G84">IF(ISBLANK(D84), "", INDEX(Categories!$B:$B,MATCH(D84,Categories!$A:$A,0)))</f>
        <v>Automobile Oil &amp; Lubrication Services</v>
      </c>
      <c r="H84" s="7" t="str">
        <f t="array" ref="H84">IF(ISBLANK(E84), "", INDEX(Categories!$B:$B,MATCH(E84,Categories!$A:$A,0)))</f>
        <v/>
      </c>
      <c r="I84" s="7" t="str">
        <f t="array" ref="I84">IF(ISBLANK(F84), "", INDEX(Categories!$B:$B,MATCH(F84,Categories!$A:$A,0)))</f>
        <v/>
      </c>
      <c r="J84" s="4"/>
      <c r="K84" s="4"/>
      <c r="L84" s="4"/>
      <c r="M84" s="4"/>
      <c r="N84" s="4"/>
      <c r="O84" s="4"/>
      <c r="P84" s="4"/>
      <c r="Q84" s="4"/>
    </row>
    <row r="85">
      <c r="A85" s="5">
        <v>84.0</v>
      </c>
      <c r="B85" s="5" t="s">
        <v>146</v>
      </c>
      <c r="C85" s="5" t="s">
        <v>147</v>
      </c>
      <c r="D85" s="6">
        <f>IFERROR(__xludf.DUMMYFUNCTION("SPLIT(MID(C85,2,LEN(C85)-2), "","")"),867.0)</f>
        <v>867</v>
      </c>
      <c r="E85" s="7"/>
      <c r="F85" s="7"/>
      <c r="G85" s="2" t="str">
        <f t="array" ref="G85">IF(ISBLANK(D85), "", INDEX(Categories!$B:$B,MATCH(D85,Categories!$A:$A,0)))</f>
        <v>Arts &amp; Crafts Supplies</v>
      </c>
      <c r="H85" s="7" t="str">
        <f t="array" ref="H85">IF(ISBLANK(E85), "", INDEX(Categories!$B:$B,MATCH(E85,Categories!$A:$A,0)))</f>
        <v/>
      </c>
      <c r="I85" s="7" t="str">
        <f t="array" ref="I85">IF(ISBLANK(F85), "", INDEX(Categories!$B:$B,MATCH(F85,Categories!$A:$A,0)))</f>
        <v/>
      </c>
      <c r="J85" s="4"/>
      <c r="K85" s="4"/>
      <c r="L85" s="4"/>
      <c r="M85" s="4"/>
      <c r="N85" s="4"/>
      <c r="O85" s="4"/>
      <c r="P85" s="4"/>
      <c r="Q85" s="4"/>
    </row>
    <row r="86">
      <c r="A86" s="5">
        <v>85.0</v>
      </c>
      <c r="B86" s="5" t="s">
        <v>148</v>
      </c>
      <c r="C86" s="5" t="s">
        <v>149</v>
      </c>
      <c r="D86" s="6">
        <f>IFERROR(__xludf.DUMMYFUNCTION("SPLIT(MID(C86,2,LEN(C86)-2), "","")"),560.0)</f>
        <v>560</v>
      </c>
      <c r="E86" s="7"/>
      <c r="F86" s="7"/>
      <c r="G86" s="2" t="str">
        <f t="array" ref="G86">IF(ISBLANK(D86), "", INDEX(Categories!$B:$B,MATCH(D86,Categories!$A:$A,0)))</f>
        <v>Employment Contractors Temporary Help Services</v>
      </c>
      <c r="H86" s="7" t="str">
        <f t="array" ref="H86">IF(ISBLANK(E86), "", INDEX(Categories!$B:$B,MATCH(E86,Categories!$A:$A,0)))</f>
        <v/>
      </c>
      <c r="I86" s="7" t="str">
        <f t="array" ref="I86">IF(ISBLANK(F86), "", INDEX(Categories!$B:$B,MATCH(F86,Categories!$A:$A,0)))</f>
        <v/>
      </c>
      <c r="J86" s="4"/>
      <c r="K86" s="4"/>
      <c r="L86" s="4"/>
      <c r="M86" s="4"/>
      <c r="N86" s="4"/>
      <c r="O86" s="4"/>
      <c r="P86" s="4"/>
      <c r="Q86" s="4"/>
    </row>
    <row r="87">
      <c r="A87" s="5">
        <v>86.0</v>
      </c>
      <c r="B87" s="5" t="s">
        <v>150</v>
      </c>
      <c r="C87" s="5" t="s">
        <v>34</v>
      </c>
      <c r="D87" s="6">
        <f>IFERROR(__xludf.DUMMYFUNCTION("SPLIT(MID(C87,2,LEN(C87)-2), "","")"),228.0)</f>
        <v>228</v>
      </c>
      <c r="E87" s="7"/>
      <c r="F87" s="7"/>
      <c r="G87" s="2" t="str">
        <f t="array" ref="G87">IF(ISBLANK(D87), "", INDEX(Categories!$B:$B,MATCH(D87,Categories!$A:$A,0)))</f>
        <v>Restaurants</v>
      </c>
      <c r="H87" s="7" t="str">
        <f t="array" ref="H87">IF(ISBLANK(E87), "", INDEX(Categories!$B:$B,MATCH(E87,Categories!$A:$A,0)))</f>
        <v/>
      </c>
      <c r="I87" s="7" t="str">
        <f t="array" ref="I87">IF(ISBLANK(F87), "", INDEX(Categories!$B:$B,MATCH(F87,Categories!$A:$A,0)))</f>
        <v/>
      </c>
      <c r="J87" s="4"/>
      <c r="K87" s="4"/>
      <c r="L87" s="4"/>
      <c r="M87" s="4"/>
      <c r="N87" s="4"/>
      <c r="O87" s="4"/>
      <c r="P87" s="4"/>
      <c r="Q87" s="4"/>
    </row>
    <row r="88">
      <c r="A88" s="5">
        <v>87.0</v>
      </c>
      <c r="B88" s="5" t="s">
        <v>151</v>
      </c>
      <c r="C88" s="5" t="s">
        <v>152</v>
      </c>
      <c r="D88" s="6">
        <f>IFERROR(__xludf.DUMMYFUNCTION("SPLIT(MID(C88,2,LEN(C88)-2), "","")"),1183.0)</f>
        <v>1183</v>
      </c>
      <c r="E88" s="7"/>
      <c r="F88" s="7"/>
      <c r="G88" s="2" t="str">
        <f t="array" ref="G88">IF(ISBLANK(D88), "", INDEX(Categories!$B:$B,MATCH(D88,Categories!$A:$A,0)))</f>
        <v>Shipping Services</v>
      </c>
      <c r="H88" s="7" t="str">
        <f t="array" ref="H88">IF(ISBLANK(E88), "", INDEX(Categories!$B:$B,MATCH(E88,Categories!$A:$A,0)))</f>
        <v/>
      </c>
      <c r="I88" s="7" t="str">
        <f t="array" ref="I88">IF(ISBLANK(F88), "", INDEX(Categories!$B:$B,MATCH(F88,Categories!$A:$A,0)))</f>
        <v/>
      </c>
      <c r="J88" s="4"/>
      <c r="K88" s="4"/>
      <c r="L88" s="4"/>
      <c r="M88" s="4"/>
      <c r="N88" s="4"/>
      <c r="O88" s="4"/>
      <c r="P88" s="4"/>
      <c r="Q88" s="4"/>
    </row>
    <row r="89">
      <c r="A89" s="5">
        <v>88.0</v>
      </c>
      <c r="B89" s="5" t="s">
        <v>153</v>
      </c>
      <c r="C89" s="5" t="s">
        <v>107</v>
      </c>
      <c r="D89" s="6">
        <f>IFERROR(__xludf.DUMMYFUNCTION("SPLIT(MID(C89,2,LEN(C89)-2), "","")"),760.0)</f>
        <v>760</v>
      </c>
      <c r="E89" s="7"/>
      <c r="F89" s="7"/>
      <c r="G89" s="2" t="str">
        <f t="array" ref="G89">IF(ISBLANK(D89), "", INDEX(Categories!$B:$B,MATCH(D89,Categories!$A:$A,0)))</f>
        <v>Discount Stores</v>
      </c>
      <c r="H89" s="7" t="str">
        <f t="array" ref="H89">IF(ISBLANK(E89), "", INDEX(Categories!$B:$B,MATCH(E89,Categories!$A:$A,0)))</f>
        <v/>
      </c>
      <c r="I89" s="7" t="str">
        <f t="array" ref="I89">IF(ISBLANK(F89), "", INDEX(Categories!$B:$B,MATCH(F89,Categories!$A:$A,0)))</f>
        <v/>
      </c>
      <c r="J89" s="4"/>
      <c r="K89" s="4"/>
      <c r="L89" s="4"/>
      <c r="M89" s="4"/>
      <c r="N89" s="4"/>
      <c r="O89" s="4"/>
      <c r="P89" s="4"/>
      <c r="Q89" s="4"/>
    </row>
    <row r="90">
      <c r="A90" s="5">
        <v>89.0</v>
      </c>
      <c r="B90" s="5" t="s">
        <v>154</v>
      </c>
      <c r="C90" s="5" t="s">
        <v>155</v>
      </c>
      <c r="D90" s="6">
        <f>IFERROR(__xludf.DUMMYFUNCTION("SPLIT(MID(C90,2,LEN(C90)-2), "","")"),2511.0)</f>
        <v>2511</v>
      </c>
      <c r="E90" s="7"/>
      <c r="F90" s="7"/>
      <c r="G90" s="2" t="str">
        <f t="array" ref="G90">IF(ISBLANK(D90), "", INDEX(Categories!$B:$B,MATCH(D90,Categories!$A:$A,0)))</f>
        <v>Fraternal Organizations</v>
      </c>
      <c r="H90" s="7" t="str">
        <f t="array" ref="H90">IF(ISBLANK(E90), "", INDEX(Categories!$B:$B,MATCH(E90,Categories!$A:$A,0)))</f>
        <v/>
      </c>
      <c r="I90" s="7" t="str">
        <f t="array" ref="I90">IF(ISBLANK(F90), "", INDEX(Categories!$B:$B,MATCH(F90,Categories!$A:$A,0)))</f>
        <v/>
      </c>
      <c r="J90" s="4"/>
      <c r="K90" s="4"/>
      <c r="L90" s="4"/>
      <c r="M90" s="4"/>
      <c r="N90" s="4"/>
      <c r="O90" s="4"/>
      <c r="P90" s="4"/>
      <c r="Q90" s="4"/>
    </row>
    <row r="91">
      <c r="A91" s="5">
        <v>90.0</v>
      </c>
      <c r="B91" s="5" t="s">
        <v>156</v>
      </c>
      <c r="C91" s="5" t="s">
        <v>157</v>
      </c>
      <c r="D91" s="6">
        <f>IFERROR(__xludf.DUMMYFUNCTION("SPLIT(MID(C91,2,LEN(C91)-2), "","")"),195.0)</f>
        <v>195</v>
      </c>
      <c r="E91" s="7"/>
      <c r="F91" s="7"/>
      <c r="G91" s="2" t="str">
        <f t="array" ref="G91">IF(ISBLANK(D91), "", INDEX(Categories!$B:$B,MATCH(D91,Categories!$A:$A,0)))</f>
        <v>Child Care Centers &amp; Services</v>
      </c>
      <c r="H91" s="7" t="str">
        <f t="array" ref="H91">IF(ISBLANK(E91), "", INDEX(Categories!$B:$B,MATCH(E91,Categories!$A:$A,0)))</f>
        <v/>
      </c>
      <c r="I91" s="7" t="str">
        <f t="array" ref="I91">IF(ISBLANK(F91), "", INDEX(Categories!$B:$B,MATCH(F91,Categories!$A:$A,0)))</f>
        <v/>
      </c>
      <c r="J91" s="4"/>
      <c r="K91" s="4"/>
      <c r="L91" s="4"/>
      <c r="M91" s="4"/>
      <c r="N91" s="4"/>
      <c r="O91" s="4"/>
      <c r="P91" s="4"/>
      <c r="Q91" s="4"/>
    </row>
    <row r="92">
      <c r="A92" s="5">
        <v>91.0</v>
      </c>
      <c r="B92" s="5" t="s">
        <v>158</v>
      </c>
      <c r="C92" s="5" t="s">
        <v>159</v>
      </c>
      <c r="D92" s="6">
        <f>IFERROR(__xludf.DUMMYFUNCTION("SPLIT(MID(C92,2,LEN(C92)-2), "","")"),1922.0)</f>
        <v>1922</v>
      </c>
      <c r="E92" s="7"/>
      <c r="F92" s="7"/>
      <c r="G92" s="2" t="str">
        <f t="array" ref="G92">IF(ISBLANK(D92), "", INDEX(Categories!$B:$B,MATCH(D92,Categories!$A:$A,0)))</f>
        <v>Laboratories Analytical &amp; Testing</v>
      </c>
      <c r="H92" s="7" t="str">
        <f t="array" ref="H92">IF(ISBLANK(E92), "", INDEX(Categories!$B:$B,MATCH(E92,Categories!$A:$A,0)))</f>
        <v/>
      </c>
      <c r="I92" s="7" t="str">
        <f t="array" ref="I92">IF(ISBLANK(F92), "", INDEX(Categories!$B:$B,MATCH(F92,Categories!$A:$A,0)))</f>
        <v/>
      </c>
      <c r="J92" s="4"/>
      <c r="K92" s="4"/>
      <c r="L92" s="4"/>
      <c r="M92" s="4"/>
      <c r="N92" s="4"/>
      <c r="O92" s="4"/>
      <c r="P92" s="4"/>
      <c r="Q92" s="4"/>
    </row>
    <row r="93">
      <c r="A93" s="5">
        <v>92.0</v>
      </c>
      <c r="B93" s="5" t="s">
        <v>160</v>
      </c>
      <c r="C93" s="5" t="s">
        <v>161</v>
      </c>
      <c r="D93" s="6">
        <f>IFERROR(__xludf.DUMMYFUNCTION("SPLIT(MID(C93,2,LEN(C93)-2), "","")"),1835.0)</f>
        <v>1835</v>
      </c>
      <c r="E93" s="7"/>
      <c r="F93" s="7"/>
      <c r="G93" s="2" t="str">
        <f t="array" ref="G93">IF(ISBLANK(D93), "", INDEX(Categories!$B:$B,MATCH(D93,Categories!$A:$A,0)))</f>
        <v>Optical Goods</v>
      </c>
      <c r="H93" s="7" t="str">
        <f t="array" ref="H93">IF(ISBLANK(E93), "", INDEX(Categories!$B:$B,MATCH(E93,Categories!$A:$A,0)))</f>
        <v/>
      </c>
      <c r="I93" s="7" t="str">
        <f t="array" ref="I93">IF(ISBLANK(F93), "", INDEX(Categories!$B:$B,MATCH(F93,Categories!$A:$A,0)))</f>
        <v/>
      </c>
      <c r="J93" s="4"/>
      <c r="K93" s="4"/>
      <c r="L93" s="4"/>
      <c r="M93" s="4"/>
      <c r="N93" s="4"/>
      <c r="O93" s="4"/>
      <c r="P93" s="4"/>
      <c r="Q93" s="4"/>
    </row>
    <row r="94">
      <c r="A94" s="5">
        <v>93.0</v>
      </c>
      <c r="B94" s="5" t="s">
        <v>162</v>
      </c>
      <c r="C94" s="5" t="s">
        <v>62</v>
      </c>
      <c r="D94" s="6">
        <f>IFERROR(__xludf.DUMMYFUNCTION("SPLIT(MID(C94,2,LEN(C94)-2), "","")"),242.0)</f>
        <v>242</v>
      </c>
      <c r="E94" s="7"/>
      <c r="F94" s="7"/>
      <c r="G94" s="2" t="str">
        <f t="array" ref="G94">IF(ISBLANK(D94), "", INDEX(Categories!$B:$B,MATCH(D94,Categories!$A:$A,0)))</f>
        <v>Restaurants Pizza</v>
      </c>
      <c r="H94" s="7" t="str">
        <f t="array" ref="H94">IF(ISBLANK(E94), "", INDEX(Categories!$B:$B,MATCH(E94,Categories!$A:$A,0)))</f>
        <v/>
      </c>
      <c r="I94" s="7" t="str">
        <f t="array" ref="I94">IF(ISBLANK(F94), "", INDEX(Categories!$B:$B,MATCH(F94,Categories!$A:$A,0)))</f>
        <v/>
      </c>
      <c r="J94" s="4"/>
      <c r="K94" s="4"/>
      <c r="L94" s="4"/>
      <c r="M94" s="4"/>
      <c r="N94" s="4"/>
      <c r="O94" s="4"/>
      <c r="P94" s="4"/>
      <c r="Q94" s="4"/>
    </row>
    <row r="95">
      <c r="A95" s="5">
        <v>94.0</v>
      </c>
      <c r="B95" s="5" t="s">
        <v>163</v>
      </c>
      <c r="C95" s="5" t="s">
        <v>164</v>
      </c>
      <c r="D95" s="6">
        <f>IFERROR(__xludf.DUMMYFUNCTION("SPLIT(MID(C95,2,LEN(C95)-2), "","")"),243.0)</f>
        <v>243</v>
      </c>
      <c r="E95" s="7"/>
      <c r="F95" s="7"/>
      <c r="G95" s="2" t="str">
        <f t="array" ref="G95">IF(ISBLANK(D95), "", INDEX(Categories!$B:$B,MATCH(D95,Categories!$A:$A,0)))</f>
        <v>Restaurants Seafood</v>
      </c>
      <c r="H95" s="7" t="str">
        <f t="array" ref="H95">IF(ISBLANK(E95), "", INDEX(Categories!$B:$B,MATCH(E95,Categories!$A:$A,0)))</f>
        <v/>
      </c>
      <c r="I95" s="7" t="str">
        <f t="array" ref="I95">IF(ISBLANK(F95), "", INDEX(Categories!$B:$B,MATCH(F95,Categories!$A:$A,0)))</f>
        <v/>
      </c>
      <c r="J95" s="4"/>
      <c r="K95" s="4"/>
      <c r="L95" s="4"/>
      <c r="M95" s="4"/>
      <c r="N95" s="4"/>
      <c r="O95" s="4"/>
      <c r="P95" s="4"/>
      <c r="Q95" s="4"/>
    </row>
    <row r="96">
      <c r="A96" s="5">
        <v>95.0</v>
      </c>
      <c r="B96" s="5" t="s">
        <v>165</v>
      </c>
      <c r="C96" s="5" t="s">
        <v>166</v>
      </c>
      <c r="D96" s="6">
        <f>IFERROR(__xludf.DUMMYFUNCTION("SPLIT(MID(C96,2,LEN(C96)-2), "","")"),1763.0)</f>
        <v>1763</v>
      </c>
      <c r="E96" s="7"/>
      <c r="F96" s="7"/>
      <c r="G96" s="2" t="str">
        <f t="array" ref="G96">IF(ISBLANK(D96), "", INDEX(Categories!$B:$B,MATCH(D96,Categories!$A:$A,0)))</f>
        <v>Mailing Service</v>
      </c>
      <c r="H96" s="7" t="str">
        <f t="array" ref="H96">IF(ISBLANK(E96), "", INDEX(Categories!$B:$B,MATCH(E96,Categories!$A:$A,0)))</f>
        <v/>
      </c>
      <c r="I96" s="7" t="str">
        <f t="array" ref="I96">IF(ISBLANK(F96), "", INDEX(Categories!$B:$B,MATCH(F96,Categories!$A:$A,0)))</f>
        <v/>
      </c>
      <c r="J96" s="4"/>
      <c r="K96" s="4"/>
      <c r="L96" s="4"/>
      <c r="M96" s="4"/>
      <c r="N96" s="4"/>
      <c r="O96" s="4"/>
      <c r="P96" s="4"/>
      <c r="Q96" s="4"/>
    </row>
    <row r="97">
      <c r="A97" s="5">
        <v>96.0</v>
      </c>
      <c r="B97" s="5" t="s">
        <v>167</v>
      </c>
      <c r="C97" s="5" t="s">
        <v>47</v>
      </c>
      <c r="D97" s="6">
        <f>IFERROR(__xludf.DUMMYFUNCTION("SPLIT(MID(C97,2,LEN(C97)-2), "","")"),546.0)</f>
        <v>546</v>
      </c>
      <c r="E97" s="7"/>
      <c r="F97" s="7"/>
      <c r="G97" s="2" t="str">
        <f t="array" ref="G97">IF(ISBLANK(D97), "", INDEX(Categories!$B:$B,MATCH(D97,Categories!$A:$A,0)))</f>
        <v>Cosmetics &amp; Perfumes Retail</v>
      </c>
      <c r="H97" s="7" t="str">
        <f t="array" ref="H97">IF(ISBLANK(E97), "", INDEX(Categories!$B:$B,MATCH(E97,Categories!$A:$A,0)))</f>
        <v/>
      </c>
      <c r="I97" s="7" t="str">
        <f t="array" ref="I97">IF(ISBLANK(F97), "", INDEX(Categories!$B:$B,MATCH(F97,Categories!$A:$A,0)))</f>
        <v/>
      </c>
      <c r="J97" s="4"/>
      <c r="K97" s="4"/>
      <c r="L97" s="4"/>
      <c r="M97" s="4"/>
      <c r="N97" s="4"/>
      <c r="O97" s="4"/>
      <c r="P97" s="4"/>
      <c r="Q97" s="4"/>
    </row>
    <row r="98">
      <c r="A98" s="5">
        <v>97.0</v>
      </c>
      <c r="B98" s="5" t="s">
        <v>168</v>
      </c>
      <c r="C98" s="5" t="s">
        <v>60</v>
      </c>
      <c r="D98" s="6">
        <f>IFERROR(__xludf.DUMMYFUNCTION("SPLIT(MID(C98,2,LEN(C98)-2), "","")"),240.0)</f>
        <v>240</v>
      </c>
      <c r="E98" s="7"/>
      <c r="F98" s="7"/>
      <c r="G98" s="2" t="str">
        <f t="array" ref="G98">IF(ISBLANK(D98), "", INDEX(Categories!$B:$B,MATCH(D98,Categories!$A:$A,0)))</f>
        <v>Restaurants Fast Food</v>
      </c>
      <c r="H98" s="7" t="str">
        <f t="array" ref="H98">IF(ISBLANK(E98), "", INDEX(Categories!$B:$B,MATCH(E98,Categories!$A:$A,0)))</f>
        <v/>
      </c>
      <c r="I98" s="7" t="str">
        <f t="array" ref="I98">IF(ISBLANK(F98), "", INDEX(Categories!$B:$B,MATCH(F98,Categories!$A:$A,0)))</f>
        <v/>
      </c>
      <c r="J98" s="4"/>
      <c r="K98" s="4"/>
      <c r="L98" s="4"/>
      <c r="M98" s="4"/>
      <c r="N98" s="4"/>
      <c r="O98" s="4"/>
      <c r="P98" s="4"/>
      <c r="Q98" s="4"/>
    </row>
    <row r="99">
      <c r="A99" s="5">
        <v>98.0</v>
      </c>
      <c r="B99" s="5" t="s">
        <v>169</v>
      </c>
      <c r="C99" s="5" t="s">
        <v>170</v>
      </c>
      <c r="D99" s="6">
        <f>IFERROR(__xludf.DUMMYFUNCTION("SPLIT(MID(C99,2,LEN(C99)-2), "","")"),189.0)</f>
        <v>189</v>
      </c>
      <c r="E99" s="7"/>
      <c r="F99" s="7"/>
      <c r="G99" s="2" t="str">
        <f t="array" ref="G99">IF(ISBLANK(D99), "", INDEX(Categories!$B:$B,MATCH(D99,Categories!$A:$A,0)))</f>
        <v>Pharmacies</v>
      </c>
      <c r="H99" s="7" t="str">
        <f t="array" ref="H99">IF(ISBLANK(E99), "", INDEX(Categories!$B:$B,MATCH(E99,Categories!$A:$A,0)))</f>
        <v/>
      </c>
      <c r="I99" s="7" t="str">
        <f t="array" ref="I99">IF(ISBLANK(F99), "", INDEX(Categories!$B:$B,MATCH(F99,Categories!$A:$A,0)))</f>
        <v/>
      </c>
      <c r="J99" s="4"/>
      <c r="K99" s="4"/>
      <c r="L99" s="4"/>
      <c r="M99" s="4"/>
      <c r="N99" s="4"/>
      <c r="O99" s="4"/>
      <c r="P99" s="4"/>
      <c r="Q99" s="4"/>
    </row>
    <row r="100">
      <c r="A100" s="5">
        <v>99.0</v>
      </c>
      <c r="B100" s="5" t="s">
        <v>171</v>
      </c>
      <c r="C100" s="5" t="s">
        <v>12</v>
      </c>
      <c r="D100" s="6">
        <f>IFERROR(__xludf.DUMMYFUNCTION("SPLIT(MID(C100,2,LEN(C100)-2), "","")"),469.0)</f>
        <v>469</v>
      </c>
      <c r="E100" s="7"/>
      <c r="F100" s="7"/>
      <c r="G100" s="2" t="str">
        <f t="array" ref="G100">IF(ISBLANK(D100), "", INDEX(Categories!$B:$B,MATCH(D100,Categories!$A:$A,0)))</f>
        <v>Automobile - Repairs &amp; Services</v>
      </c>
      <c r="H100" s="7" t="str">
        <f t="array" ref="H100">IF(ISBLANK(E100), "", INDEX(Categories!$B:$B,MATCH(E100,Categories!$A:$A,0)))</f>
        <v/>
      </c>
      <c r="I100" s="7" t="str">
        <f t="array" ref="I100">IF(ISBLANK(F100), "", INDEX(Categories!$B:$B,MATCH(F100,Categories!$A:$A,0)))</f>
        <v/>
      </c>
      <c r="J100" s="4"/>
      <c r="K100" s="4"/>
      <c r="L100" s="4"/>
      <c r="M100" s="4"/>
      <c r="N100" s="4"/>
      <c r="O100" s="4"/>
      <c r="P100" s="4"/>
      <c r="Q100" s="4"/>
    </row>
    <row r="101">
      <c r="A101" s="5">
        <v>100.0</v>
      </c>
      <c r="B101" s="5" t="s">
        <v>172</v>
      </c>
      <c r="C101" s="5" t="s">
        <v>47</v>
      </c>
      <c r="D101" s="6">
        <f>IFERROR(__xludf.DUMMYFUNCTION("SPLIT(MID(C101,2,LEN(C101)-2), "","")"),546.0)</f>
        <v>546</v>
      </c>
      <c r="E101" s="7"/>
      <c r="F101" s="7"/>
      <c r="G101" s="2" t="str">
        <f t="array" ref="G101">IF(ISBLANK(D101), "", INDEX(Categories!$B:$B,MATCH(D101,Categories!$A:$A,0)))</f>
        <v>Cosmetics &amp; Perfumes Retail</v>
      </c>
      <c r="H101" s="7" t="str">
        <f t="array" ref="H101">IF(ISBLANK(E101), "", INDEX(Categories!$B:$B,MATCH(E101,Categories!$A:$A,0)))</f>
        <v/>
      </c>
      <c r="I101" s="7" t="str">
        <f t="array" ref="I101">IF(ISBLANK(F101), "", INDEX(Categories!$B:$B,MATCH(F101,Categories!$A:$A,0)))</f>
        <v/>
      </c>
      <c r="J101" s="4"/>
      <c r="K101" s="4"/>
      <c r="L101" s="4"/>
      <c r="M101" s="4"/>
      <c r="N101" s="4"/>
      <c r="O101" s="4"/>
      <c r="P101" s="4"/>
      <c r="Q101" s="4"/>
    </row>
    <row r="102">
      <c r="A102" s="5">
        <v>101.0</v>
      </c>
      <c r="B102" s="5" t="s">
        <v>173</v>
      </c>
      <c r="C102" s="5" t="s">
        <v>174</v>
      </c>
      <c r="D102" s="6">
        <f>IFERROR(__xludf.DUMMYFUNCTION("SPLIT(MID(C102,2,LEN(C102)-2), "","")"),1317.0)</f>
        <v>1317</v>
      </c>
      <c r="E102" s="7"/>
      <c r="F102" s="7"/>
      <c r="G102" s="2" t="str">
        <f t="array" ref="G102">IF(ISBLANK(D102), "", INDEX(Categories!$B:$B,MATCH(D102,Categories!$A:$A,0)))</f>
        <v>Financial Planning &amp; Investments</v>
      </c>
      <c r="H102" s="7" t="str">
        <f t="array" ref="H102">IF(ISBLANK(E102), "", INDEX(Categories!$B:$B,MATCH(E102,Categories!$A:$A,0)))</f>
        <v/>
      </c>
      <c r="I102" s="7" t="str">
        <f t="array" ref="I102">IF(ISBLANK(F102), "", INDEX(Categories!$B:$B,MATCH(F102,Categories!$A:$A,0)))</f>
        <v/>
      </c>
      <c r="J102" s="4"/>
      <c r="K102" s="4"/>
      <c r="L102" s="4"/>
      <c r="M102" s="4"/>
      <c r="N102" s="4"/>
      <c r="O102" s="4"/>
      <c r="P102" s="4"/>
      <c r="Q102" s="4"/>
    </row>
    <row r="103">
      <c r="A103" s="5">
        <v>102.0</v>
      </c>
      <c r="B103" s="5" t="s">
        <v>175</v>
      </c>
      <c r="C103" s="5" t="s">
        <v>176</v>
      </c>
      <c r="D103" s="6">
        <f>IFERROR(__xludf.DUMMYFUNCTION("SPLIT(MID(C103,2,LEN(C103)-2), "","")"),2557.0)</f>
        <v>2557</v>
      </c>
      <c r="E103" s="7"/>
      <c r="F103" s="7"/>
      <c r="G103" s="2" t="str">
        <f t="array" ref="G103">IF(ISBLANK(D103), "", INDEX(Categories!$B:$B,MATCH(D103,Categories!$A:$A,0)))</f>
        <v>Maids &amp; Butlers Services</v>
      </c>
      <c r="H103" s="7" t="str">
        <f t="array" ref="H103">IF(ISBLANK(E103), "", INDEX(Categories!$B:$B,MATCH(E103,Categories!$A:$A,0)))</f>
        <v/>
      </c>
      <c r="I103" s="7" t="str">
        <f t="array" ref="I103">IF(ISBLANK(F103), "", INDEX(Categories!$B:$B,MATCH(F103,Categories!$A:$A,0)))</f>
        <v/>
      </c>
      <c r="J103" s="4"/>
      <c r="K103" s="4"/>
      <c r="L103" s="4"/>
      <c r="M103" s="4"/>
      <c r="N103" s="4"/>
      <c r="O103" s="4"/>
      <c r="P103" s="4"/>
      <c r="Q103" s="4"/>
    </row>
    <row r="104">
      <c r="A104" s="5">
        <v>103.0</v>
      </c>
      <c r="B104" s="5" t="s">
        <v>177</v>
      </c>
      <c r="C104" s="5" t="s">
        <v>12</v>
      </c>
      <c r="D104" s="6">
        <f>IFERROR(__xludf.DUMMYFUNCTION("SPLIT(MID(C104,2,LEN(C104)-2), "","")"),469.0)</f>
        <v>469</v>
      </c>
      <c r="E104" s="7"/>
      <c r="F104" s="7"/>
      <c r="G104" s="2" t="str">
        <f t="array" ref="G104">IF(ISBLANK(D104), "", INDEX(Categories!$B:$B,MATCH(D104,Categories!$A:$A,0)))</f>
        <v>Automobile - Repairs &amp; Services</v>
      </c>
      <c r="H104" s="7" t="str">
        <f t="array" ref="H104">IF(ISBLANK(E104), "", INDEX(Categories!$B:$B,MATCH(E104,Categories!$A:$A,0)))</f>
        <v/>
      </c>
      <c r="I104" s="7" t="str">
        <f t="array" ref="I104">IF(ISBLANK(F104), "", INDEX(Categories!$B:$B,MATCH(F104,Categories!$A:$A,0)))</f>
        <v/>
      </c>
      <c r="J104" s="4"/>
      <c r="K104" s="4"/>
      <c r="L104" s="4"/>
      <c r="M104" s="4"/>
      <c r="N104" s="4"/>
      <c r="O104" s="4"/>
      <c r="P104" s="4"/>
      <c r="Q104" s="4"/>
    </row>
    <row r="105">
      <c r="A105" s="5">
        <v>104.0</v>
      </c>
      <c r="B105" s="5" t="s">
        <v>178</v>
      </c>
      <c r="C105" s="5" t="s">
        <v>179</v>
      </c>
      <c r="D105" s="6">
        <f>IFERROR(__xludf.DUMMYFUNCTION("SPLIT(MID(C105,2,LEN(C105)-2), "","")"),2247.0)</f>
        <v>2247</v>
      </c>
      <c r="E105" s="7"/>
      <c r="F105" s="7"/>
      <c r="G105" s="2" t="str">
        <f t="array" ref="G105">IF(ISBLANK(D105), "", INDEX(Categories!$B:$B,MATCH(D105,Categories!$A:$A,0)))</f>
        <v>Copying &amp; Duplicating Service</v>
      </c>
      <c r="H105" s="7" t="str">
        <f t="array" ref="H105">IF(ISBLANK(E105), "", INDEX(Categories!$B:$B,MATCH(E105,Categories!$A:$A,0)))</f>
        <v/>
      </c>
      <c r="I105" s="7" t="str">
        <f t="array" ref="I105">IF(ISBLANK(F105), "", INDEX(Categories!$B:$B,MATCH(F105,Categories!$A:$A,0)))</f>
        <v/>
      </c>
      <c r="J105" s="4"/>
      <c r="K105" s="4"/>
      <c r="L105" s="4"/>
      <c r="M105" s="4"/>
      <c r="N105" s="4"/>
      <c r="O105" s="4"/>
      <c r="P105" s="4"/>
      <c r="Q105" s="4"/>
    </row>
    <row r="106">
      <c r="A106" s="5">
        <v>105.0</v>
      </c>
      <c r="B106" s="5" t="s">
        <v>180</v>
      </c>
      <c r="C106" s="5" t="s">
        <v>49</v>
      </c>
      <c r="D106" s="6">
        <f>IFERROR(__xludf.DUMMYFUNCTION("SPLIT(MID(C106,2,LEN(C106)-2), "","")"),1294.0)</f>
        <v>1294</v>
      </c>
      <c r="E106" s="7"/>
      <c r="F106" s="7"/>
      <c r="G106" s="2" t="str">
        <f t="array" ref="G106">IF(ISBLANK(D106), "", INDEX(Categories!$B:$B,MATCH(D106,Categories!$A:$A,0)))</f>
        <v>Hearing Aids &amp; Assistive Devices</v>
      </c>
      <c r="H106" s="7" t="str">
        <f t="array" ref="H106">IF(ISBLANK(E106), "", INDEX(Categories!$B:$B,MATCH(E106,Categories!$A:$A,0)))</f>
        <v/>
      </c>
      <c r="I106" s="7" t="str">
        <f t="array" ref="I106">IF(ISBLANK(F106), "", INDEX(Categories!$B:$B,MATCH(F106,Categories!$A:$A,0)))</f>
        <v/>
      </c>
      <c r="J106" s="4"/>
      <c r="K106" s="4"/>
      <c r="L106" s="4"/>
      <c r="M106" s="4"/>
      <c r="N106" s="4"/>
      <c r="O106" s="4"/>
      <c r="P106" s="4"/>
      <c r="Q106" s="4"/>
    </row>
    <row r="107">
      <c r="A107" s="5">
        <v>106.0</v>
      </c>
      <c r="B107" s="5" t="s">
        <v>181</v>
      </c>
      <c r="C107" s="5" t="s">
        <v>58</v>
      </c>
      <c r="D107" s="6">
        <f>IFERROR(__xludf.DUMMYFUNCTION("SPLIT(MID(C107,2,LEN(C107)-2), "","")"),1170.0)</f>
        <v>1170</v>
      </c>
      <c r="E107" s="7"/>
      <c r="F107" s="7"/>
      <c r="G107" s="2" t="str">
        <f t="array" ref="G107">IF(ISBLANK(D107), "", INDEX(Categories!$B:$B,MATCH(D107,Categories!$A:$A,0)))</f>
        <v>Gasoline Retail</v>
      </c>
      <c r="H107" s="7" t="str">
        <f t="array" ref="H107">IF(ISBLANK(E107), "", INDEX(Categories!$B:$B,MATCH(E107,Categories!$A:$A,0)))</f>
        <v/>
      </c>
      <c r="I107" s="7" t="str">
        <f t="array" ref="I107">IF(ISBLANK(F107), "", INDEX(Categories!$B:$B,MATCH(F107,Categories!$A:$A,0)))</f>
        <v/>
      </c>
      <c r="J107" s="4"/>
      <c r="K107" s="4"/>
      <c r="L107" s="4"/>
      <c r="M107" s="4"/>
      <c r="N107" s="4"/>
      <c r="O107" s="4"/>
      <c r="P107" s="4"/>
      <c r="Q107" s="4"/>
    </row>
    <row r="108">
      <c r="A108" s="5">
        <v>107.0</v>
      </c>
      <c r="B108" s="5" t="s">
        <v>182</v>
      </c>
      <c r="C108" s="5" t="s">
        <v>16</v>
      </c>
      <c r="D108" s="6">
        <f>IFERROR(__xludf.DUMMYFUNCTION("SPLIT(MID(C108,2,LEN(C108)-2), "","")"),51.0)</f>
        <v>51</v>
      </c>
      <c r="E108" s="7"/>
      <c r="F108" s="7"/>
      <c r="G108" s="2" t="str">
        <f t="array" ref="G108">IF(ISBLANK(D108), "", INDEX(Categories!$B:$B,MATCH(D108,Categories!$A:$A,0)))</f>
        <v>Automobile Parts &amp; Supplies</v>
      </c>
      <c r="H108" s="7" t="str">
        <f t="array" ref="H108">IF(ISBLANK(E108), "", INDEX(Categories!$B:$B,MATCH(E108,Categories!$A:$A,0)))</f>
        <v/>
      </c>
      <c r="I108" s="7" t="str">
        <f t="array" ref="I108">IF(ISBLANK(F108), "", INDEX(Categories!$B:$B,MATCH(F108,Categories!$A:$A,0)))</f>
        <v/>
      </c>
      <c r="J108" s="4"/>
      <c r="K108" s="4"/>
      <c r="L108" s="4"/>
      <c r="M108" s="4"/>
      <c r="N108" s="4"/>
      <c r="O108" s="4"/>
      <c r="P108" s="4"/>
      <c r="Q108" s="4"/>
    </row>
    <row r="109">
      <c r="A109" s="5">
        <v>108.0</v>
      </c>
      <c r="B109" s="5" t="s">
        <v>183</v>
      </c>
      <c r="C109" s="5" t="s">
        <v>18</v>
      </c>
      <c r="D109" s="6">
        <f>IFERROR(__xludf.DUMMYFUNCTION("SPLIT(MID(C109,2,LEN(C109)-2), "","")"),121.0)</f>
        <v>121</v>
      </c>
      <c r="E109" s="7"/>
      <c r="F109" s="7"/>
      <c r="G109" s="2" t="str">
        <f t="array" ref="G109">IF(ISBLANK(D109), "", INDEX(Categories!$B:$B,MATCH(D109,Categories!$A:$A,0)))</f>
        <v>Insurance</v>
      </c>
      <c r="H109" s="7" t="str">
        <f t="array" ref="H109">IF(ISBLANK(E109), "", INDEX(Categories!$B:$B,MATCH(E109,Categories!$A:$A,0)))</f>
        <v/>
      </c>
      <c r="I109" s="7" t="str">
        <f t="array" ref="I109">IF(ISBLANK(F109), "", INDEX(Categories!$B:$B,MATCH(F109,Categories!$A:$A,0)))</f>
        <v/>
      </c>
      <c r="J109" s="4"/>
      <c r="K109" s="4"/>
      <c r="L109" s="4"/>
      <c r="M109" s="4"/>
      <c r="N109" s="4"/>
      <c r="O109" s="4"/>
      <c r="P109" s="4"/>
      <c r="Q109" s="4"/>
    </row>
    <row r="110">
      <c r="A110" s="5">
        <v>109.0</v>
      </c>
      <c r="B110" s="5" t="s">
        <v>184</v>
      </c>
      <c r="C110" s="5" t="s">
        <v>185</v>
      </c>
      <c r="D110" s="6">
        <f>IFERROR(__xludf.DUMMYFUNCTION("SPLIT(MID(C110,2,LEN(C110)-2), "","")"),375.0)</f>
        <v>375</v>
      </c>
      <c r="E110" s="7"/>
      <c r="F110" s="7"/>
      <c r="G110" s="2" t="str">
        <f t="array" ref="G110">IF(ISBLANK(D110), "", INDEX(Categories!$B:$B,MATCH(D110,Categories!$A:$A,0)))</f>
        <v>Churches Baptist</v>
      </c>
      <c r="H110" s="7" t="str">
        <f t="array" ref="H110">IF(ISBLANK(E110), "", INDEX(Categories!$B:$B,MATCH(E110,Categories!$A:$A,0)))</f>
        <v/>
      </c>
      <c r="I110" s="7" t="str">
        <f t="array" ref="I110">IF(ISBLANK(F110), "", INDEX(Categories!$B:$B,MATCH(F110,Categories!$A:$A,0)))</f>
        <v/>
      </c>
      <c r="J110" s="4"/>
      <c r="K110" s="4"/>
      <c r="L110" s="4"/>
      <c r="M110" s="4"/>
      <c r="N110" s="4"/>
      <c r="O110" s="4"/>
      <c r="P110" s="4"/>
      <c r="Q110" s="4"/>
    </row>
    <row r="111">
      <c r="A111" s="5">
        <v>110.0</v>
      </c>
      <c r="B111" s="5" t="s">
        <v>186</v>
      </c>
      <c r="C111" s="5" t="s">
        <v>18</v>
      </c>
      <c r="D111" s="6">
        <f>IFERROR(__xludf.DUMMYFUNCTION("SPLIT(MID(C111,2,LEN(C111)-2), "","")"),121.0)</f>
        <v>121</v>
      </c>
      <c r="E111" s="7"/>
      <c r="F111" s="7"/>
      <c r="G111" s="2" t="str">
        <f t="array" ref="G111">IF(ISBLANK(D111), "", INDEX(Categories!$B:$B,MATCH(D111,Categories!$A:$A,0)))</f>
        <v>Insurance</v>
      </c>
      <c r="H111" s="7" t="str">
        <f t="array" ref="H111">IF(ISBLANK(E111), "", INDEX(Categories!$B:$B,MATCH(E111,Categories!$A:$A,0)))</f>
        <v/>
      </c>
      <c r="I111" s="7" t="str">
        <f t="array" ref="I111">IF(ISBLANK(F111), "", INDEX(Categories!$B:$B,MATCH(F111,Categories!$A:$A,0)))</f>
        <v/>
      </c>
      <c r="J111" s="4"/>
      <c r="K111" s="4"/>
      <c r="L111" s="4"/>
      <c r="M111" s="4"/>
      <c r="N111" s="4"/>
      <c r="O111" s="4"/>
      <c r="P111" s="4"/>
      <c r="Q111" s="4"/>
    </row>
    <row r="112">
      <c r="A112" s="5">
        <v>111.0</v>
      </c>
      <c r="B112" s="5" t="s">
        <v>187</v>
      </c>
      <c r="C112" s="5" t="s">
        <v>188</v>
      </c>
      <c r="D112" s="6">
        <f>IFERROR(__xludf.DUMMYFUNCTION("SPLIT(MID(C112,2,LEN(C112)-2), "","")"),534.0)</f>
        <v>534</v>
      </c>
      <c r="E112" s="7"/>
      <c r="F112" s="7"/>
      <c r="G112" s="2" t="str">
        <f t="array" ref="G112">IF(ISBLANK(D112), "", INDEX(Categories!$B:$B,MATCH(D112,Categories!$A:$A,0)))</f>
        <v>Moving Services</v>
      </c>
      <c r="H112" s="7" t="str">
        <f t="array" ref="H112">IF(ISBLANK(E112), "", INDEX(Categories!$B:$B,MATCH(E112,Categories!$A:$A,0)))</f>
        <v/>
      </c>
      <c r="I112" s="7" t="str">
        <f t="array" ref="I112">IF(ISBLANK(F112), "", INDEX(Categories!$B:$B,MATCH(F112,Categories!$A:$A,0)))</f>
        <v/>
      </c>
      <c r="J112" s="4"/>
      <c r="K112" s="4"/>
      <c r="L112" s="4"/>
      <c r="M112" s="4"/>
      <c r="N112" s="4"/>
      <c r="O112" s="4"/>
      <c r="P112" s="4"/>
      <c r="Q112" s="4"/>
    </row>
    <row r="113">
      <c r="A113" s="5">
        <v>112.0</v>
      </c>
      <c r="B113" s="5" t="s">
        <v>189</v>
      </c>
      <c r="C113" s="5" t="s">
        <v>190</v>
      </c>
      <c r="D113" s="6">
        <f>IFERROR(__xludf.DUMMYFUNCTION("SPLIT(MID(C113,2,LEN(C113)-2), "","")"),639.0)</f>
        <v>639</v>
      </c>
      <c r="E113" s="7"/>
      <c r="F113" s="7"/>
      <c r="G113" s="2" t="str">
        <f t="array" ref="G113">IF(ISBLANK(D113), "", INDEX(Categories!$B:$B,MATCH(D113,Categories!$A:$A,0)))</f>
        <v>Photographers Portrait</v>
      </c>
      <c r="H113" s="7" t="str">
        <f t="array" ref="H113">IF(ISBLANK(E113), "", INDEX(Categories!$B:$B,MATCH(E113,Categories!$A:$A,0)))</f>
        <v/>
      </c>
      <c r="I113" s="7" t="str">
        <f t="array" ref="I113">IF(ISBLANK(F113), "", INDEX(Categories!$B:$B,MATCH(F113,Categories!$A:$A,0)))</f>
        <v/>
      </c>
      <c r="J113" s="4"/>
      <c r="K113" s="4"/>
      <c r="L113" s="4"/>
      <c r="M113" s="4"/>
      <c r="N113" s="4"/>
      <c r="O113" s="4"/>
      <c r="P113" s="4"/>
      <c r="Q113" s="4"/>
    </row>
    <row r="114">
      <c r="A114" s="5">
        <v>113.0</v>
      </c>
      <c r="B114" s="5" t="s">
        <v>191</v>
      </c>
      <c r="C114" s="5" t="s">
        <v>149</v>
      </c>
      <c r="D114" s="6">
        <f>IFERROR(__xludf.DUMMYFUNCTION("SPLIT(MID(C114,2,LEN(C114)-2), "","")"),560.0)</f>
        <v>560</v>
      </c>
      <c r="E114" s="7"/>
      <c r="F114" s="7"/>
      <c r="G114" s="2" t="str">
        <f t="array" ref="G114">IF(ISBLANK(D114), "", INDEX(Categories!$B:$B,MATCH(D114,Categories!$A:$A,0)))</f>
        <v>Employment Contractors Temporary Help Services</v>
      </c>
      <c r="H114" s="7" t="str">
        <f t="array" ref="H114">IF(ISBLANK(E114), "", INDEX(Categories!$B:$B,MATCH(E114,Categories!$A:$A,0)))</f>
        <v/>
      </c>
      <c r="I114" s="7" t="str">
        <f t="array" ref="I114">IF(ISBLANK(F114), "", INDEX(Categories!$B:$B,MATCH(F114,Categories!$A:$A,0)))</f>
        <v/>
      </c>
      <c r="J114" s="4"/>
      <c r="K114" s="4"/>
      <c r="L114" s="4"/>
      <c r="M114" s="4"/>
      <c r="N114" s="4"/>
      <c r="O114" s="4"/>
      <c r="P114" s="4"/>
      <c r="Q114" s="4"/>
    </row>
    <row r="115">
      <c r="A115" s="5">
        <v>114.0</v>
      </c>
      <c r="B115" s="5" t="s">
        <v>192</v>
      </c>
      <c r="C115" s="5" t="s">
        <v>115</v>
      </c>
      <c r="D115" s="6">
        <f>IFERROR(__xludf.DUMMYFUNCTION("SPLIT(MID(C115,2,LEN(C115)-2), "","")"),1272.0)</f>
        <v>1272</v>
      </c>
      <c r="E115" s="7"/>
      <c r="F115" s="7"/>
      <c r="G115" s="2" t="str">
        <f t="array" ref="G115">IF(ISBLANK(D115), "", INDEX(Categories!$B:$B,MATCH(D115,Categories!$A:$A,0)))</f>
        <v>Womens Apparel</v>
      </c>
      <c r="H115" s="7" t="str">
        <f t="array" ref="H115">IF(ISBLANK(E115), "", INDEX(Categories!$B:$B,MATCH(E115,Categories!$A:$A,0)))</f>
        <v/>
      </c>
      <c r="I115" s="7" t="str">
        <f t="array" ref="I115">IF(ISBLANK(F115), "", INDEX(Categories!$B:$B,MATCH(F115,Categories!$A:$A,0)))</f>
        <v/>
      </c>
      <c r="J115" s="4"/>
      <c r="K115" s="4"/>
      <c r="L115" s="4"/>
      <c r="M115" s="4"/>
      <c r="N115" s="4"/>
      <c r="O115" s="4"/>
      <c r="P115" s="4"/>
      <c r="Q115" s="4"/>
    </row>
    <row r="116">
      <c r="A116" s="5">
        <v>115.0</v>
      </c>
      <c r="B116" s="5" t="s">
        <v>193</v>
      </c>
      <c r="C116" s="5" t="s">
        <v>194</v>
      </c>
      <c r="D116" s="6">
        <f>IFERROR(__xludf.DUMMYFUNCTION("SPLIT(MID(C116,2,LEN(C116)-2), "","")"),442.0)</f>
        <v>442</v>
      </c>
      <c r="E116" s="7"/>
      <c r="F116" s="7"/>
      <c r="G116" s="2" t="str">
        <f t="array" ref="G116">IF(ISBLANK(D116), "", INDEX(Categories!$B:$B,MATCH(D116,Categories!$A:$A,0)))</f>
        <v>Pest Control Services</v>
      </c>
      <c r="H116" s="7" t="str">
        <f t="array" ref="H116">IF(ISBLANK(E116), "", INDEX(Categories!$B:$B,MATCH(E116,Categories!$A:$A,0)))</f>
        <v/>
      </c>
      <c r="I116" s="7" t="str">
        <f t="array" ref="I116">IF(ISBLANK(F116), "", INDEX(Categories!$B:$B,MATCH(F116,Categories!$A:$A,0)))</f>
        <v/>
      </c>
      <c r="J116" s="4"/>
      <c r="K116" s="4"/>
      <c r="L116" s="4"/>
      <c r="M116" s="4"/>
      <c r="N116" s="4"/>
      <c r="O116" s="4"/>
      <c r="P116" s="4"/>
      <c r="Q116" s="4"/>
    </row>
    <row r="117">
      <c r="A117" s="5">
        <v>116.0</v>
      </c>
      <c r="B117" s="5" t="s">
        <v>195</v>
      </c>
      <c r="C117" s="5" t="s">
        <v>62</v>
      </c>
      <c r="D117" s="6">
        <f>IFERROR(__xludf.DUMMYFUNCTION("SPLIT(MID(C117,2,LEN(C117)-2), "","")"),242.0)</f>
        <v>242</v>
      </c>
      <c r="E117" s="7"/>
      <c r="F117" s="7"/>
      <c r="G117" s="2" t="str">
        <f t="array" ref="G117">IF(ISBLANK(D117), "", INDEX(Categories!$B:$B,MATCH(D117,Categories!$A:$A,0)))</f>
        <v>Restaurants Pizza</v>
      </c>
      <c r="H117" s="7" t="str">
        <f t="array" ref="H117">IF(ISBLANK(E117), "", INDEX(Categories!$B:$B,MATCH(E117,Categories!$A:$A,0)))</f>
        <v/>
      </c>
      <c r="I117" s="7" t="str">
        <f t="array" ref="I117">IF(ISBLANK(F117), "", INDEX(Categories!$B:$B,MATCH(F117,Categories!$A:$A,0)))</f>
        <v/>
      </c>
      <c r="J117" s="4"/>
      <c r="K117" s="4"/>
      <c r="L117" s="4"/>
      <c r="M117" s="4"/>
      <c r="N117" s="4"/>
      <c r="O117" s="4"/>
      <c r="P117" s="4"/>
      <c r="Q117" s="4"/>
    </row>
    <row r="118">
      <c r="A118" s="5">
        <v>117.0</v>
      </c>
      <c r="B118" s="5" t="s">
        <v>196</v>
      </c>
      <c r="C118" s="5" t="s">
        <v>161</v>
      </c>
      <c r="D118" s="6">
        <f>IFERROR(__xludf.DUMMYFUNCTION("SPLIT(MID(C118,2,LEN(C118)-2), "","")"),1835.0)</f>
        <v>1835</v>
      </c>
      <c r="E118" s="7"/>
      <c r="F118" s="7"/>
      <c r="G118" s="2" t="str">
        <f t="array" ref="G118">IF(ISBLANK(D118), "", INDEX(Categories!$B:$B,MATCH(D118,Categories!$A:$A,0)))</f>
        <v>Optical Goods</v>
      </c>
      <c r="H118" s="7" t="str">
        <f t="array" ref="H118">IF(ISBLANK(E118), "", INDEX(Categories!$B:$B,MATCH(E118,Categories!$A:$A,0)))</f>
        <v/>
      </c>
      <c r="I118" s="7" t="str">
        <f t="array" ref="I118">IF(ISBLANK(F118), "", INDEX(Categories!$B:$B,MATCH(F118,Categories!$A:$A,0)))</f>
        <v/>
      </c>
      <c r="J118" s="4"/>
      <c r="K118" s="4"/>
      <c r="L118" s="4"/>
      <c r="M118" s="4"/>
      <c r="N118" s="4"/>
      <c r="O118" s="4"/>
      <c r="P118" s="4"/>
      <c r="Q118" s="4"/>
    </row>
    <row r="119">
      <c r="A119" s="5">
        <v>118.0</v>
      </c>
      <c r="B119" s="5" t="s">
        <v>197</v>
      </c>
      <c r="C119" s="5" t="s">
        <v>16</v>
      </c>
      <c r="D119" s="6">
        <f>IFERROR(__xludf.DUMMYFUNCTION("SPLIT(MID(C119,2,LEN(C119)-2), "","")"),51.0)</f>
        <v>51</v>
      </c>
      <c r="E119" s="7"/>
      <c r="F119" s="7"/>
      <c r="G119" s="2" t="str">
        <f t="array" ref="G119">IF(ISBLANK(D119), "", INDEX(Categories!$B:$B,MATCH(D119,Categories!$A:$A,0)))</f>
        <v>Automobile Parts &amp; Supplies</v>
      </c>
      <c r="H119" s="7" t="str">
        <f t="array" ref="H119">IF(ISBLANK(E119), "", INDEX(Categories!$B:$B,MATCH(E119,Categories!$A:$A,0)))</f>
        <v/>
      </c>
      <c r="I119" s="7" t="str">
        <f t="array" ref="I119">IF(ISBLANK(F119), "", INDEX(Categories!$B:$B,MATCH(F119,Categories!$A:$A,0)))</f>
        <v/>
      </c>
      <c r="J119" s="4"/>
      <c r="K119" s="4"/>
      <c r="L119" s="4"/>
      <c r="M119" s="4"/>
      <c r="N119" s="4"/>
      <c r="O119" s="4"/>
      <c r="P119" s="4"/>
      <c r="Q119" s="4"/>
    </row>
    <row r="120">
      <c r="A120" s="5">
        <v>119.0</v>
      </c>
      <c r="B120" s="5" t="s">
        <v>198</v>
      </c>
      <c r="C120" s="5" t="s">
        <v>62</v>
      </c>
      <c r="D120" s="6">
        <f>IFERROR(__xludf.DUMMYFUNCTION("SPLIT(MID(C120,2,LEN(C120)-2), "","")"),242.0)</f>
        <v>242</v>
      </c>
      <c r="E120" s="7"/>
      <c r="F120" s="7"/>
      <c r="G120" s="2" t="str">
        <f t="array" ref="G120">IF(ISBLANK(D120), "", INDEX(Categories!$B:$B,MATCH(D120,Categories!$A:$A,0)))</f>
        <v>Restaurants Pizza</v>
      </c>
      <c r="H120" s="7" t="str">
        <f t="array" ref="H120">IF(ISBLANK(E120), "", INDEX(Categories!$B:$B,MATCH(E120,Categories!$A:$A,0)))</f>
        <v/>
      </c>
      <c r="I120" s="7" t="str">
        <f t="array" ref="I120">IF(ISBLANK(F120), "", INDEX(Categories!$B:$B,MATCH(F120,Categories!$A:$A,0)))</f>
        <v/>
      </c>
      <c r="J120" s="4"/>
      <c r="K120" s="4"/>
      <c r="L120" s="4"/>
      <c r="M120" s="4"/>
      <c r="N120" s="4"/>
      <c r="O120" s="4"/>
      <c r="P120" s="4"/>
      <c r="Q120" s="4"/>
    </row>
    <row r="121">
      <c r="A121" s="5">
        <v>120.0</v>
      </c>
      <c r="B121" s="5" t="s">
        <v>199</v>
      </c>
      <c r="C121" s="5" t="s">
        <v>200</v>
      </c>
      <c r="D121" s="6">
        <f>IFERROR(__xludf.DUMMYFUNCTION("SPLIT(MID(C121,2,LEN(C121)-2), "","")"),316.0)</f>
        <v>316</v>
      </c>
      <c r="E121" s="7"/>
      <c r="F121" s="7"/>
      <c r="G121" s="2" t="str">
        <f t="array" ref="G121">IF(ISBLANK(D121), "", INDEX(Categories!$B:$B,MATCH(D121,Categories!$A:$A,0)))</f>
        <v>Sporting Goods</v>
      </c>
      <c r="H121" s="7" t="str">
        <f t="array" ref="H121">IF(ISBLANK(E121), "", INDEX(Categories!$B:$B,MATCH(E121,Categories!$A:$A,0)))</f>
        <v/>
      </c>
      <c r="I121" s="7" t="str">
        <f t="array" ref="I121">IF(ISBLANK(F121), "", INDEX(Categories!$B:$B,MATCH(F121,Categories!$A:$A,0)))</f>
        <v/>
      </c>
      <c r="J121" s="4"/>
      <c r="K121" s="4"/>
      <c r="L121" s="4"/>
      <c r="M121" s="4"/>
      <c r="N121" s="4"/>
      <c r="O121" s="4"/>
      <c r="P121" s="4"/>
      <c r="Q121" s="4"/>
    </row>
    <row r="122">
      <c r="A122" s="5">
        <v>121.0</v>
      </c>
      <c r="B122" s="5" t="s">
        <v>201</v>
      </c>
      <c r="C122" s="5" t="s">
        <v>34</v>
      </c>
      <c r="D122" s="6">
        <f>IFERROR(__xludf.DUMMYFUNCTION("SPLIT(MID(C122,2,LEN(C122)-2), "","")"),228.0)</f>
        <v>228</v>
      </c>
      <c r="E122" s="7"/>
      <c r="F122" s="7"/>
      <c r="G122" s="2" t="str">
        <f t="array" ref="G122">IF(ISBLANK(D122), "", INDEX(Categories!$B:$B,MATCH(D122,Categories!$A:$A,0)))</f>
        <v>Restaurants</v>
      </c>
      <c r="H122" s="7" t="str">
        <f t="array" ref="H122">IF(ISBLANK(E122), "", INDEX(Categories!$B:$B,MATCH(E122,Categories!$A:$A,0)))</f>
        <v/>
      </c>
      <c r="I122" s="7" t="str">
        <f t="array" ref="I122">IF(ISBLANK(F122), "", INDEX(Categories!$B:$B,MATCH(F122,Categories!$A:$A,0)))</f>
        <v/>
      </c>
      <c r="J122" s="4"/>
      <c r="K122" s="4"/>
      <c r="L122" s="4"/>
      <c r="M122" s="4"/>
      <c r="N122" s="4"/>
      <c r="O122" s="4"/>
      <c r="P122" s="4"/>
      <c r="Q122" s="4"/>
    </row>
    <row r="123">
      <c r="A123" s="5">
        <v>122.0</v>
      </c>
      <c r="B123" s="5" t="s">
        <v>202</v>
      </c>
      <c r="C123" s="5" t="s">
        <v>18</v>
      </c>
      <c r="D123" s="6">
        <f>IFERROR(__xludf.DUMMYFUNCTION("SPLIT(MID(C123,2,LEN(C123)-2), "","")"),121.0)</f>
        <v>121</v>
      </c>
      <c r="E123" s="7"/>
      <c r="F123" s="7"/>
      <c r="G123" s="2" t="str">
        <f t="array" ref="G123">IF(ISBLANK(D123), "", INDEX(Categories!$B:$B,MATCH(D123,Categories!$A:$A,0)))</f>
        <v>Insurance</v>
      </c>
      <c r="H123" s="7" t="str">
        <f t="array" ref="H123">IF(ISBLANK(E123), "", INDEX(Categories!$B:$B,MATCH(E123,Categories!$A:$A,0)))</f>
        <v/>
      </c>
      <c r="I123" s="7" t="str">
        <f t="array" ref="I123">IF(ISBLANK(F123), "", INDEX(Categories!$B:$B,MATCH(F123,Categories!$A:$A,0)))</f>
        <v/>
      </c>
      <c r="J123" s="4"/>
      <c r="K123" s="4"/>
      <c r="L123" s="4"/>
      <c r="M123" s="4"/>
      <c r="N123" s="4"/>
      <c r="O123" s="4"/>
      <c r="P123" s="4"/>
      <c r="Q123" s="4"/>
    </row>
    <row r="124">
      <c r="A124" s="5">
        <v>123.0</v>
      </c>
      <c r="B124" s="5" t="s">
        <v>203</v>
      </c>
      <c r="C124" s="5" t="s">
        <v>18</v>
      </c>
      <c r="D124" s="6">
        <f>IFERROR(__xludf.DUMMYFUNCTION("SPLIT(MID(C124,2,LEN(C124)-2), "","")"),121.0)</f>
        <v>121</v>
      </c>
      <c r="E124" s="7"/>
      <c r="F124" s="7"/>
      <c r="G124" s="2" t="str">
        <f t="array" ref="G124">IF(ISBLANK(D124), "", INDEX(Categories!$B:$B,MATCH(D124,Categories!$A:$A,0)))</f>
        <v>Insurance</v>
      </c>
      <c r="H124" s="7" t="str">
        <f t="array" ref="H124">IF(ISBLANK(E124), "", INDEX(Categories!$B:$B,MATCH(E124,Categories!$A:$A,0)))</f>
        <v/>
      </c>
      <c r="I124" s="7" t="str">
        <f t="array" ref="I124">IF(ISBLANK(F124), "", INDEX(Categories!$B:$B,MATCH(F124,Categories!$A:$A,0)))</f>
        <v/>
      </c>
      <c r="J124" s="4"/>
      <c r="K124" s="4"/>
      <c r="L124" s="4"/>
      <c r="M124" s="4"/>
      <c r="N124" s="4"/>
      <c r="O124" s="4"/>
      <c r="P124" s="4"/>
      <c r="Q124" s="4"/>
    </row>
    <row r="125">
      <c r="A125" s="5">
        <v>124.0</v>
      </c>
      <c r="B125" s="5" t="s">
        <v>204</v>
      </c>
      <c r="C125" s="5" t="s">
        <v>205</v>
      </c>
      <c r="D125" s="6">
        <f>IFERROR(__xludf.DUMMYFUNCTION("SPLIT(MID(C125,2,LEN(C125)-2), "","")"),1384.0)</f>
        <v>1384</v>
      </c>
      <c r="E125" s="7"/>
      <c r="F125" s="7"/>
      <c r="G125" s="2" t="str">
        <f t="array" ref="G125">IF(ISBLANK(D125), "", INDEX(Categories!$B:$B,MATCH(D125,Categories!$A:$A,0)))</f>
        <v>Storage Self Service</v>
      </c>
      <c r="H125" s="7" t="str">
        <f t="array" ref="H125">IF(ISBLANK(E125), "", INDEX(Categories!$B:$B,MATCH(E125,Categories!$A:$A,0)))</f>
        <v/>
      </c>
      <c r="I125" s="7" t="str">
        <f t="array" ref="I125">IF(ISBLANK(F125), "", INDEX(Categories!$B:$B,MATCH(F125,Categories!$A:$A,0)))</f>
        <v/>
      </c>
      <c r="J125" s="4"/>
      <c r="K125" s="4"/>
      <c r="L125" s="4"/>
      <c r="M125" s="4"/>
      <c r="N125" s="4"/>
      <c r="O125" s="4"/>
      <c r="P125" s="4"/>
      <c r="Q125" s="4"/>
    </row>
    <row r="126">
      <c r="A126" s="5">
        <v>125.0</v>
      </c>
      <c r="B126" s="5" t="s">
        <v>206</v>
      </c>
      <c r="C126" s="5" t="s">
        <v>207</v>
      </c>
      <c r="D126" s="6">
        <f>IFERROR(__xludf.DUMMYFUNCTION("SPLIT(MID(C126,2,LEN(C126)-2), "","")"),1920.0)</f>
        <v>1920</v>
      </c>
      <c r="E126" s="7"/>
      <c r="F126" s="7"/>
      <c r="G126" s="2" t="str">
        <f t="array" ref="G126">IF(ISBLANK(D126), "", INDEX(Categories!$B:$B,MATCH(D126,Categories!$A:$A,0)))</f>
        <v>Medical Laboratories</v>
      </c>
      <c r="H126" s="7" t="str">
        <f t="array" ref="H126">IF(ISBLANK(E126), "", INDEX(Categories!$B:$B,MATCH(E126,Categories!$A:$A,0)))</f>
        <v/>
      </c>
      <c r="I126" s="7" t="str">
        <f t="array" ref="I126">IF(ISBLANK(F126), "", INDEX(Categories!$B:$B,MATCH(F126,Categories!$A:$A,0)))</f>
        <v/>
      </c>
      <c r="J126" s="4"/>
      <c r="K126" s="4"/>
      <c r="L126" s="4"/>
      <c r="M126" s="4"/>
      <c r="N126" s="4"/>
      <c r="O126" s="4"/>
      <c r="P126" s="4"/>
      <c r="Q126" s="4"/>
    </row>
    <row r="127">
      <c r="A127" s="5">
        <v>126.0</v>
      </c>
      <c r="B127" s="5" t="s">
        <v>208</v>
      </c>
      <c r="C127" s="5" t="s">
        <v>209</v>
      </c>
      <c r="D127" s="6">
        <f>IFERROR(__xludf.DUMMYFUNCTION("SPLIT(MID(C127,2,LEN(C127)-2), "","")"),1945.0)</f>
        <v>1945</v>
      </c>
      <c r="E127" s="7"/>
      <c r="F127" s="7"/>
      <c r="G127" s="2" t="str">
        <f t="array" ref="G127">IF(ISBLANK(D127), "", INDEX(Categories!$B:$B,MATCH(D127,Categories!$A:$A,0)))</f>
        <v>Electronic Equipment &amp; Supplies</v>
      </c>
      <c r="H127" s="7" t="str">
        <f t="array" ref="H127">IF(ISBLANK(E127), "", INDEX(Categories!$B:$B,MATCH(E127,Categories!$A:$A,0)))</f>
        <v/>
      </c>
      <c r="I127" s="7" t="str">
        <f t="array" ref="I127">IF(ISBLANK(F127), "", INDEX(Categories!$B:$B,MATCH(F127,Categories!$A:$A,0)))</f>
        <v/>
      </c>
      <c r="J127" s="4"/>
      <c r="K127" s="4"/>
      <c r="L127" s="4"/>
      <c r="M127" s="4"/>
      <c r="N127" s="4"/>
      <c r="O127" s="4"/>
      <c r="P127" s="4"/>
      <c r="Q127" s="4"/>
    </row>
    <row r="128">
      <c r="A128" s="5">
        <v>127.0</v>
      </c>
      <c r="B128" s="5" t="s">
        <v>210</v>
      </c>
      <c r="C128" s="5" t="s">
        <v>164</v>
      </c>
      <c r="D128" s="6">
        <f>IFERROR(__xludf.DUMMYFUNCTION("SPLIT(MID(C128,2,LEN(C128)-2), "","")"),243.0)</f>
        <v>243</v>
      </c>
      <c r="E128" s="7"/>
      <c r="F128" s="7"/>
      <c r="G128" s="2" t="str">
        <f t="array" ref="G128">IF(ISBLANK(D128), "", INDEX(Categories!$B:$B,MATCH(D128,Categories!$A:$A,0)))</f>
        <v>Restaurants Seafood</v>
      </c>
      <c r="H128" s="7" t="str">
        <f t="array" ref="H128">IF(ISBLANK(E128), "", INDEX(Categories!$B:$B,MATCH(E128,Categories!$A:$A,0)))</f>
        <v/>
      </c>
      <c r="I128" s="7" t="str">
        <f t="array" ref="I128">IF(ISBLANK(F128), "", INDEX(Categories!$B:$B,MATCH(F128,Categories!$A:$A,0)))</f>
        <v/>
      </c>
      <c r="J128" s="4"/>
      <c r="K128" s="4"/>
      <c r="L128" s="4"/>
      <c r="M128" s="4"/>
      <c r="N128" s="4"/>
      <c r="O128" s="4"/>
      <c r="P128" s="4"/>
      <c r="Q128" s="4"/>
    </row>
    <row r="129">
      <c r="A129" s="5">
        <v>128.0</v>
      </c>
      <c r="B129" s="5" t="s">
        <v>211</v>
      </c>
      <c r="C129" s="5" t="s">
        <v>212</v>
      </c>
      <c r="D129" s="6">
        <f>IFERROR(__xludf.DUMMYFUNCTION("SPLIT(MID(C129,2,LEN(C129)-2), "","")"),446.0)</f>
        <v>446</v>
      </c>
      <c r="E129" s="7"/>
      <c r="F129" s="7"/>
      <c r="G129" s="2" t="str">
        <f t="array" ref="G129">IF(ISBLANK(D129), "", INDEX(Categories!$B:$B,MATCH(D129,Categories!$A:$A,0)))</f>
        <v>Beauty Salons</v>
      </c>
      <c r="H129" s="7" t="str">
        <f t="array" ref="H129">IF(ISBLANK(E129), "", INDEX(Categories!$B:$B,MATCH(E129,Categories!$A:$A,0)))</f>
        <v/>
      </c>
      <c r="I129" s="7" t="str">
        <f t="array" ref="I129">IF(ISBLANK(F129), "", INDEX(Categories!$B:$B,MATCH(F129,Categories!$A:$A,0)))</f>
        <v/>
      </c>
      <c r="J129" s="4"/>
      <c r="K129" s="4"/>
      <c r="L129" s="4"/>
      <c r="M129" s="4"/>
      <c r="N129" s="4"/>
      <c r="O129" s="4"/>
      <c r="P129" s="4"/>
      <c r="Q129" s="4"/>
    </row>
    <row r="130">
      <c r="A130" s="5">
        <v>129.0</v>
      </c>
      <c r="B130" s="5" t="s">
        <v>213</v>
      </c>
      <c r="C130" s="5" t="s">
        <v>214</v>
      </c>
      <c r="D130" s="6">
        <f>IFERROR(__xludf.DUMMYFUNCTION("SPLIT(MID(C130,2,LEN(C130)-2), "","")"),30.0)</f>
        <v>30</v>
      </c>
      <c r="E130" s="7"/>
      <c r="F130" s="7"/>
      <c r="G130" s="2" t="str">
        <f t="array" ref="G130">IF(ISBLANK(D130), "", INDEX(Categories!$B:$B,MATCH(D130,Categories!$A:$A,0)))</f>
        <v>Furniture Renting &amp; Leasing</v>
      </c>
      <c r="H130" s="7" t="str">
        <f t="array" ref="H130">IF(ISBLANK(E130), "", INDEX(Categories!$B:$B,MATCH(E130,Categories!$A:$A,0)))</f>
        <v/>
      </c>
      <c r="I130" s="7" t="str">
        <f t="array" ref="I130">IF(ISBLANK(F130), "", INDEX(Categories!$B:$B,MATCH(F130,Categories!$A:$A,0)))</f>
        <v/>
      </c>
      <c r="J130" s="4"/>
      <c r="K130" s="4"/>
      <c r="L130" s="4"/>
      <c r="M130" s="4"/>
      <c r="N130" s="4"/>
      <c r="O130" s="4"/>
      <c r="P130" s="4"/>
      <c r="Q130" s="4"/>
    </row>
    <row r="131">
      <c r="A131" s="5">
        <v>130.0</v>
      </c>
      <c r="B131" s="5" t="s">
        <v>215</v>
      </c>
      <c r="C131" s="5" t="s">
        <v>170</v>
      </c>
      <c r="D131" s="6">
        <f>IFERROR(__xludf.DUMMYFUNCTION("SPLIT(MID(C131,2,LEN(C131)-2), "","")"),189.0)</f>
        <v>189</v>
      </c>
      <c r="E131" s="7"/>
      <c r="F131" s="7"/>
      <c r="G131" s="2" t="str">
        <f t="array" ref="G131">IF(ISBLANK(D131), "", INDEX(Categories!$B:$B,MATCH(D131,Categories!$A:$A,0)))</f>
        <v>Pharmacies</v>
      </c>
      <c r="H131" s="7" t="str">
        <f t="array" ref="H131">IF(ISBLANK(E131), "", INDEX(Categories!$B:$B,MATCH(E131,Categories!$A:$A,0)))</f>
        <v/>
      </c>
      <c r="I131" s="7" t="str">
        <f t="array" ref="I131">IF(ISBLANK(F131), "", INDEX(Categories!$B:$B,MATCH(F131,Categories!$A:$A,0)))</f>
        <v/>
      </c>
      <c r="J131" s="4"/>
      <c r="K131" s="4"/>
      <c r="L131" s="4"/>
      <c r="M131" s="4"/>
      <c r="N131" s="4"/>
      <c r="O131" s="4"/>
      <c r="P131" s="4"/>
      <c r="Q131" s="4"/>
    </row>
    <row r="132">
      <c r="A132" s="5">
        <v>131.0</v>
      </c>
      <c r="B132" s="5" t="s">
        <v>216</v>
      </c>
      <c r="C132" s="5" t="s">
        <v>217</v>
      </c>
      <c r="D132" s="6">
        <f>IFERROR(__xludf.DUMMYFUNCTION("SPLIT(MID(C132,2,LEN(C132)-2), "","")"),147.0)</f>
        <v>147</v>
      </c>
      <c r="E132" s="7"/>
      <c r="F132" s="7"/>
      <c r="G132" s="2" t="str">
        <f t="array" ref="G132">IF(ISBLANK(D132), "", INDEX(Categories!$B:$B,MATCH(D132,Categories!$A:$A,0)))</f>
        <v>Contractors - Plumbers &amp; Plumbing</v>
      </c>
      <c r="H132" s="7" t="str">
        <f t="array" ref="H132">IF(ISBLANK(E132), "", INDEX(Categories!$B:$B,MATCH(E132,Categories!$A:$A,0)))</f>
        <v/>
      </c>
      <c r="I132" s="7" t="str">
        <f t="array" ref="I132">IF(ISBLANK(F132), "", INDEX(Categories!$B:$B,MATCH(F132,Categories!$A:$A,0)))</f>
        <v/>
      </c>
      <c r="J132" s="4"/>
      <c r="K132" s="4"/>
      <c r="L132" s="4"/>
      <c r="M132" s="4"/>
      <c r="N132" s="4"/>
      <c r="O132" s="4"/>
      <c r="P132" s="4"/>
      <c r="Q132" s="4"/>
    </row>
    <row r="133">
      <c r="A133" s="5">
        <v>132.0</v>
      </c>
      <c r="B133" s="5" t="s">
        <v>218</v>
      </c>
      <c r="C133" s="5" t="s">
        <v>102</v>
      </c>
      <c r="D133" s="6">
        <f>IFERROR(__xludf.DUMMYFUNCTION("SPLIT(MID(C133,2,LEN(C133)-2), "","")"),298.0)</f>
        <v>298</v>
      </c>
      <c r="E133" s="7"/>
      <c r="F133" s="7"/>
      <c r="G133" s="2" t="str">
        <f t="array" ref="G133">IF(ISBLANK(D133), "", INDEX(Categories!$B:$B,MATCH(D133,Categories!$A:$A,0)))</f>
        <v>Financial Services</v>
      </c>
      <c r="H133" s="7" t="str">
        <f t="array" ref="H133">IF(ISBLANK(E133), "", INDEX(Categories!$B:$B,MATCH(E133,Categories!$A:$A,0)))</f>
        <v/>
      </c>
      <c r="I133" s="7" t="str">
        <f t="array" ref="I133">IF(ISBLANK(F133), "", INDEX(Categories!$B:$B,MATCH(F133,Categories!$A:$A,0)))</f>
        <v/>
      </c>
      <c r="J133" s="4"/>
      <c r="K133" s="4"/>
      <c r="L133" s="4"/>
      <c r="M133" s="4"/>
      <c r="N133" s="4"/>
      <c r="O133" s="4"/>
      <c r="P133" s="4"/>
      <c r="Q133" s="4"/>
    </row>
    <row r="134">
      <c r="A134" s="5">
        <v>133.0</v>
      </c>
      <c r="B134" s="5" t="s">
        <v>219</v>
      </c>
      <c r="C134" s="5" t="s">
        <v>135</v>
      </c>
      <c r="D134" s="6">
        <f>IFERROR(__xludf.DUMMYFUNCTION("SPLIT(MID(C134,2,LEN(C134)-2), "","")"),96.0)</f>
        <v>96</v>
      </c>
      <c r="E134" s="7"/>
      <c r="F134" s="7"/>
      <c r="G134" s="2" t="str">
        <f t="array" ref="G134">IF(ISBLANK(D134), "", INDEX(Categories!$B:$B,MATCH(D134,Categories!$A:$A,0)))</f>
        <v>Truck Renting &amp; Leasing</v>
      </c>
      <c r="H134" s="7" t="str">
        <f t="array" ref="H134">IF(ISBLANK(E134), "", INDEX(Categories!$B:$B,MATCH(E134,Categories!$A:$A,0)))</f>
        <v/>
      </c>
      <c r="I134" s="7" t="str">
        <f t="array" ref="I134">IF(ISBLANK(F134), "", INDEX(Categories!$B:$B,MATCH(F134,Categories!$A:$A,0)))</f>
        <v/>
      </c>
      <c r="J134" s="4"/>
      <c r="K134" s="4"/>
      <c r="L134" s="4"/>
      <c r="M134" s="4"/>
      <c r="N134" s="4"/>
      <c r="O134" s="4"/>
      <c r="P134" s="4"/>
      <c r="Q134" s="4"/>
    </row>
    <row r="135">
      <c r="A135" s="5">
        <v>134.0</v>
      </c>
      <c r="B135" s="5" t="s">
        <v>220</v>
      </c>
      <c r="C135" s="5" t="s">
        <v>221</v>
      </c>
      <c r="D135" s="6">
        <f>IFERROR(__xludf.DUMMYFUNCTION("SPLIT(MID(C135,2,LEN(C135)-2), "","")"),483.0)</f>
        <v>483</v>
      </c>
      <c r="E135" s="7"/>
      <c r="F135" s="7"/>
      <c r="G135" s="2" t="str">
        <f t="array" ref="G135">IF(ISBLANK(D135), "", INDEX(Categories!$B:$B,MATCH(D135,Categories!$A:$A,0)))</f>
        <v>Automobile Window Service &amp; Repair</v>
      </c>
      <c r="H135" s="7" t="str">
        <f t="array" ref="H135">IF(ISBLANK(E135), "", INDEX(Categories!$B:$B,MATCH(E135,Categories!$A:$A,0)))</f>
        <v/>
      </c>
      <c r="I135" s="7" t="str">
        <f t="array" ref="I135">IF(ISBLANK(F135), "", INDEX(Categories!$B:$B,MATCH(F135,Categories!$A:$A,0)))</f>
        <v/>
      </c>
      <c r="J135" s="4"/>
      <c r="K135" s="4"/>
      <c r="L135" s="4"/>
      <c r="M135" s="4"/>
      <c r="N135" s="4"/>
      <c r="O135" s="4"/>
      <c r="P135" s="4"/>
      <c r="Q135" s="4"/>
    </row>
    <row r="136">
      <c r="A136" s="5">
        <v>135.0</v>
      </c>
      <c r="B136" s="5" t="s">
        <v>222</v>
      </c>
      <c r="C136" s="5" t="s">
        <v>223</v>
      </c>
      <c r="D136" s="6">
        <f>IFERROR(__xludf.DUMMYFUNCTION("SPLIT(MID(C136,2,LEN(C136)-2), "","")"),545.0)</f>
        <v>545</v>
      </c>
      <c r="E136" s="7"/>
      <c r="F136" s="7"/>
      <c r="G136" s="2" t="str">
        <f t="array" ref="G136">IF(ISBLANK(D136), "", INDEX(Categories!$B:$B,MATCH(D136,Categories!$A:$A,0)))</f>
        <v>Beauty Supplies &amp; Equipment</v>
      </c>
      <c r="H136" s="7" t="str">
        <f t="array" ref="H136">IF(ISBLANK(E136), "", INDEX(Categories!$B:$B,MATCH(E136,Categories!$A:$A,0)))</f>
        <v/>
      </c>
      <c r="I136" s="7" t="str">
        <f t="array" ref="I136">IF(ISBLANK(F136), "", INDEX(Categories!$B:$B,MATCH(F136,Categories!$A:$A,0)))</f>
        <v/>
      </c>
      <c r="J136" s="4"/>
      <c r="K136" s="4"/>
      <c r="L136" s="4"/>
      <c r="M136" s="4"/>
      <c r="N136" s="4"/>
      <c r="O136" s="4"/>
      <c r="P136" s="4"/>
      <c r="Q136" s="4"/>
    </row>
    <row r="137">
      <c r="A137" s="5">
        <v>136.0</v>
      </c>
      <c r="B137" s="5" t="s">
        <v>224</v>
      </c>
      <c r="C137" s="5" t="s">
        <v>225</v>
      </c>
      <c r="D137" s="6">
        <f>IFERROR(__xludf.DUMMYFUNCTION("SPLIT(MID(C137,2,LEN(C137)-2), "","")"),370.0)</f>
        <v>370</v>
      </c>
      <c r="E137" s="7"/>
      <c r="F137" s="7"/>
      <c r="G137" s="2" t="str">
        <f t="array" ref="G137">IF(ISBLANK(D137), "", INDEX(Categories!$B:$B,MATCH(D137,Categories!$A:$A,0)))</f>
        <v>Churches</v>
      </c>
      <c r="H137" s="7" t="str">
        <f t="array" ref="H137">IF(ISBLANK(E137), "", INDEX(Categories!$B:$B,MATCH(E137,Categories!$A:$A,0)))</f>
        <v/>
      </c>
      <c r="I137" s="7" t="str">
        <f t="array" ref="I137">IF(ISBLANK(F137), "", INDEX(Categories!$B:$B,MATCH(F137,Categories!$A:$A,0)))</f>
        <v/>
      </c>
      <c r="J137" s="4"/>
      <c r="K137" s="4"/>
      <c r="L137" s="4"/>
      <c r="M137" s="4"/>
      <c r="N137" s="4"/>
      <c r="O137" s="4"/>
      <c r="P137" s="4"/>
      <c r="Q137" s="4"/>
    </row>
    <row r="138">
      <c r="A138" s="5">
        <v>137.0</v>
      </c>
      <c r="B138" s="5" t="s">
        <v>226</v>
      </c>
      <c r="C138" s="5" t="s">
        <v>139</v>
      </c>
      <c r="D138" s="6">
        <f>IFERROR(__xludf.DUMMYFUNCTION("SPLIT(MID(C138,2,LEN(C138)-2), "","")"),1617.0)</f>
        <v>1617</v>
      </c>
      <c r="E138" s="7"/>
      <c r="F138" s="7"/>
      <c r="G138" s="2" t="str">
        <f t="array" ref="G138">IF(ISBLANK(D138), "", INDEX(Categories!$B:$B,MATCH(D138,Categories!$A:$A,0)))</f>
        <v>Department Stores</v>
      </c>
      <c r="H138" s="7" t="str">
        <f t="array" ref="H138">IF(ISBLANK(E138), "", INDEX(Categories!$B:$B,MATCH(E138,Categories!$A:$A,0)))</f>
        <v/>
      </c>
      <c r="I138" s="7" t="str">
        <f t="array" ref="I138">IF(ISBLANK(F138), "", INDEX(Categories!$B:$B,MATCH(F138,Categories!$A:$A,0)))</f>
        <v/>
      </c>
      <c r="J138" s="4"/>
      <c r="K138" s="4"/>
      <c r="L138" s="4"/>
      <c r="M138" s="4"/>
      <c r="N138" s="4"/>
      <c r="O138" s="4"/>
      <c r="P138" s="4"/>
      <c r="Q138" s="4"/>
    </row>
    <row r="139">
      <c r="A139" s="5">
        <v>138.0</v>
      </c>
      <c r="B139" s="5" t="s">
        <v>227</v>
      </c>
      <c r="C139" s="5" t="s">
        <v>104</v>
      </c>
      <c r="D139" s="6">
        <f>IFERROR(__xludf.DUMMYFUNCTION("SPLIT(MID(C139,2,LEN(C139)-2), "","")"),1327.0)</f>
        <v>1327</v>
      </c>
      <c r="E139" s="7"/>
      <c r="F139" s="7"/>
      <c r="G139" s="2" t="str">
        <f t="array" ref="G139">IF(ISBLANK(D139), "", INDEX(Categories!$B:$B,MATCH(D139,Categories!$A:$A,0)))</f>
        <v>Investments Securities</v>
      </c>
      <c r="H139" s="7" t="str">
        <f t="array" ref="H139">IF(ISBLANK(E139), "", INDEX(Categories!$B:$B,MATCH(E139,Categories!$A:$A,0)))</f>
        <v/>
      </c>
      <c r="I139" s="7" t="str">
        <f t="array" ref="I139">IF(ISBLANK(F139), "", INDEX(Categories!$B:$B,MATCH(F139,Categories!$A:$A,0)))</f>
        <v/>
      </c>
      <c r="J139" s="4"/>
      <c r="K139" s="4"/>
      <c r="L139" s="4"/>
      <c r="M139" s="4"/>
      <c r="N139" s="4"/>
      <c r="O139" s="4"/>
      <c r="P139" s="4"/>
      <c r="Q139" s="4"/>
    </row>
    <row r="140">
      <c r="A140" s="5">
        <v>139.0</v>
      </c>
      <c r="B140" s="5" t="s">
        <v>228</v>
      </c>
      <c r="C140" s="5" t="s">
        <v>229</v>
      </c>
      <c r="D140" s="6">
        <f>IFERROR(__xludf.DUMMYFUNCTION("SPLIT(MID(C140,2,LEN(C140)-2), "","")"),414.0)</f>
        <v>414</v>
      </c>
      <c r="E140" s="7"/>
      <c r="F140" s="7"/>
      <c r="G140" s="2" t="str">
        <f t="array" ref="G140">IF(ISBLANK(D140), "", INDEX(Categories!$B:$B,MATCH(D140,Categories!$A:$A,0)))</f>
        <v>Churches Seventh Day Adventist</v>
      </c>
      <c r="H140" s="7" t="str">
        <f t="array" ref="H140">IF(ISBLANK(E140), "", INDEX(Categories!$B:$B,MATCH(E140,Categories!$A:$A,0)))</f>
        <v/>
      </c>
      <c r="I140" s="7" t="str">
        <f t="array" ref="I140">IF(ISBLANK(F140), "", INDEX(Categories!$B:$B,MATCH(F140,Categories!$A:$A,0)))</f>
        <v/>
      </c>
      <c r="J140" s="4"/>
      <c r="K140" s="4"/>
      <c r="L140" s="4"/>
      <c r="M140" s="4"/>
      <c r="N140" s="4"/>
      <c r="O140" s="4"/>
      <c r="P140" s="4"/>
      <c r="Q140" s="4"/>
    </row>
    <row r="141">
      <c r="A141" s="5">
        <v>140.0</v>
      </c>
      <c r="B141" s="5" t="s">
        <v>230</v>
      </c>
      <c r="C141" s="5" t="s">
        <v>123</v>
      </c>
      <c r="D141" s="6">
        <f>IFERROR(__xludf.DUMMYFUNCTION("SPLIT(MID(C141,2,LEN(C141)-2), "","")"),860.0)</f>
        <v>860</v>
      </c>
      <c r="E141" s="7"/>
      <c r="F141" s="7"/>
      <c r="G141" s="2" t="str">
        <f t="array" ref="G141">IF(ISBLANK(D141), "", INDEX(Categories!$B:$B,MATCH(D141,Categories!$A:$A,0)))</f>
        <v>Health &amp; Diet Food Products</v>
      </c>
      <c r="H141" s="7" t="str">
        <f t="array" ref="H141">IF(ISBLANK(E141), "", INDEX(Categories!$B:$B,MATCH(E141,Categories!$A:$A,0)))</f>
        <v/>
      </c>
      <c r="I141" s="7" t="str">
        <f t="array" ref="I141">IF(ISBLANK(F141), "", INDEX(Categories!$B:$B,MATCH(F141,Categories!$A:$A,0)))</f>
        <v/>
      </c>
      <c r="J141" s="4"/>
      <c r="K141" s="4"/>
      <c r="L141" s="4"/>
      <c r="M141" s="4"/>
      <c r="N141" s="4"/>
      <c r="O141" s="4"/>
      <c r="P141" s="4"/>
      <c r="Q141" s="4"/>
    </row>
    <row r="142">
      <c r="A142" s="5">
        <v>141.0</v>
      </c>
      <c r="B142" s="5" t="s">
        <v>231</v>
      </c>
      <c r="C142" s="5" t="s">
        <v>232</v>
      </c>
      <c r="D142" s="6">
        <f>IFERROR(__xludf.DUMMYFUNCTION("SPLIT(MID(C142,2,LEN(C142)-2), "","")"),956.0)</f>
        <v>956</v>
      </c>
      <c r="E142" s="7"/>
      <c r="F142" s="7"/>
      <c r="G142" s="2" t="str">
        <f t="array" ref="G142">IF(ISBLANK(D142), "", INDEX(Categories!$B:$B,MATCH(D142,Categories!$A:$A,0)))</f>
        <v>Painting Supplies</v>
      </c>
      <c r="H142" s="7" t="str">
        <f t="array" ref="H142">IF(ISBLANK(E142), "", INDEX(Categories!$B:$B,MATCH(E142,Categories!$A:$A,0)))</f>
        <v/>
      </c>
      <c r="I142" s="7" t="str">
        <f t="array" ref="I142">IF(ISBLANK(F142), "", INDEX(Categories!$B:$B,MATCH(F142,Categories!$A:$A,0)))</f>
        <v/>
      </c>
      <c r="J142" s="4"/>
      <c r="K142" s="4"/>
      <c r="L142" s="4"/>
      <c r="M142" s="4"/>
      <c r="N142" s="4"/>
      <c r="O142" s="4"/>
      <c r="P142" s="4"/>
      <c r="Q142" s="4"/>
    </row>
    <row r="143">
      <c r="A143" s="5">
        <v>142.0</v>
      </c>
      <c r="B143" s="5" t="s">
        <v>233</v>
      </c>
      <c r="C143" s="5" t="s">
        <v>34</v>
      </c>
      <c r="D143" s="6">
        <f>IFERROR(__xludf.DUMMYFUNCTION("SPLIT(MID(C143,2,LEN(C143)-2), "","")"),228.0)</f>
        <v>228</v>
      </c>
      <c r="E143" s="7"/>
      <c r="F143" s="7"/>
      <c r="G143" s="2" t="str">
        <f t="array" ref="G143">IF(ISBLANK(D143), "", INDEX(Categories!$B:$B,MATCH(D143,Categories!$A:$A,0)))</f>
        <v>Restaurants</v>
      </c>
      <c r="H143" s="7" t="str">
        <f t="array" ref="H143">IF(ISBLANK(E143), "", INDEX(Categories!$B:$B,MATCH(E143,Categories!$A:$A,0)))</f>
        <v/>
      </c>
      <c r="I143" s="7" t="str">
        <f t="array" ref="I143">IF(ISBLANK(F143), "", INDEX(Categories!$B:$B,MATCH(F143,Categories!$A:$A,0)))</f>
        <v/>
      </c>
      <c r="J143" s="4"/>
      <c r="K143" s="4"/>
      <c r="L143" s="4"/>
      <c r="M143" s="4"/>
      <c r="N143" s="4"/>
      <c r="O143" s="4"/>
      <c r="P143" s="4"/>
      <c r="Q143" s="4"/>
    </row>
    <row r="144">
      <c r="A144" s="5">
        <v>143.0</v>
      </c>
      <c r="B144" s="5" t="s">
        <v>234</v>
      </c>
      <c r="C144" s="5" t="s">
        <v>179</v>
      </c>
      <c r="D144" s="6">
        <f>IFERROR(__xludf.DUMMYFUNCTION("SPLIT(MID(C144,2,LEN(C144)-2), "","")"),2247.0)</f>
        <v>2247</v>
      </c>
      <c r="E144" s="7"/>
      <c r="F144" s="7"/>
      <c r="G144" s="2" t="str">
        <f t="array" ref="G144">IF(ISBLANK(D144), "", INDEX(Categories!$B:$B,MATCH(D144,Categories!$A:$A,0)))</f>
        <v>Copying &amp; Duplicating Service</v>
      </c>
      <c r="H144" s="7" t="str">
        <f t="array" ref="H144">IF(ISBLANK(E144), "", INDEX(Categories!$B:$B,MATCH(E144,Categories!$A:$A,0)))</f>
        <v/>
      </c>
      <c r="I144" s="7" t="str">
        <f t="array" ref="I144">IF(ISBLANK(F144), "", INDEX(Categories!$B:$B,MATCH(F144,Categories!$A:$A,0)))</f>
        <v/>
      </c>
      <c r="J144" s="4"/>
      <c r="K144" s="4"/>
      <c r="L144" s="4"/>
      <c r="M144" s="4"/>
      <c r="N144" s="4"/>
      <c r="O144" s="4"/>
      <c r="P144" s="4"/>
      <c r="Q144" s="4"/>
    </row>
    <row r="145">
      <c r="A145" s="5">
        <v>144.0</v>
      </c>
      <c r="B145" s="5" t="s">
        <v>235</v>
      </c>
      <c r="C145" s="5" t="s">
        <v>207</v>
      </c>
      <c r="D145" s="6">
        <f>IFERROR(__xludf.DUMMYFUNCTION("SPLIT(MID(C145,2,LEN(C145)-2), "","")"),1920.0)</f>
        <v>1920</v>
      </c>
      <c r="E145" s="7"/>
      <c r="F145" s="7"/>
      <c r="G145" s="2" t="str">
        <f t="array" ref="G145">IF(ISBLANK(D145), "", INDEX(Categories!$B:$B,MATCH(D145,Categories!$A:$A,0)))</f>
        <v>Medical Laboratories</v>
      </c>
      <c r="H145" s="7" t="str">
        <f t="array" ref="H145">IF(ISBLANK(E145), "", INDEX(Categories!$B:$B,MATCH(E145,Categories!$A:$A,0)))</f>
        <v/>
      </c>
      <c r="I145" s="7" t="str">
        <f t="array" ref="I145">IF(ISBLANK(F145), "", INDEX(Categories!$B:$B,MATCH(F145,Categories!$A:$A,0)))</f>
        <v/>
      </c>
      <c r="J145" s="4"/>
      <c r="K145" s="4"/>
      <c r="L145" s="4"/>
      <c r="M145" s="4"/>
      <c r="N145" s="4"/>
      <c r="O145" s="4"/>
      <c r="P145" s="4"/>
      <c r="Q145" s="4"/>
    </row>
    <row r="146">
      <c r="A146" s="5">
        <v>145.0</v>
      </c>
      <c r="B146" s="5" t="s">
        <v>236</v>
      </c>
      <c r="C146" s="5" t="s">
        <v>34</v>
      </c>
      <c r="D146" s="6">
        <f>IFERROR(__xludf.DUMMYFUNCTION("SPLIT(MID(C146,2,LEN(C146)-2), "","")"),228.0)</f>
        <v>228</v>
      </c>
      <c r="E146" s="7"/>
      <c r="F146" s="7"/>
      <c r="G146" s="2" t="str">
        <f t="array" ref="G146">IF(ISBLANK(D146), "", INDEX(Categories!$B:$B,MATCH(D146,Categories!$A:$A,0)))</f>
        <v>Restaurants</v>
      </c>
      <c r="H146" s="7" t="str">
        <f t="array" ref="H146">IF(ISBLANK(E146), "", INDEX(Categories!$B:$B,MATCH(E146,Categories!$A:$A,0)))</f>
        <v/>
      </c>
      <c r="I146" s="7" t="str">
        <f t="array" ref="I146">IF(ISBLANK(F146), "", INDEX(Categories!$B:$B,MATCH(F146,Categories!$A:$A,0)))</f>
        <v/>
      </c>
      <c r="J146" s="4"/>
      <c r="K146" s="4"/>
      <c r="L146" s="4"/>
      <c r="M146" s="4"/>
      <c r="N146" s="4"/>
      <c r="O146" s="4"/>
      <c r="P146" s="4"/>
      <c r="Q146" s="4"/>
    </row>
    <row r="147">
      <c r="A147" s="5">
        <v>146.0</v>
      </c>
      <c r="B147" s="5" t="s">
        <v>237</v>
      </c>
      <c r="C147" s="5" t="s">
        <v>238</v>
      </c>
      <c r="D147" s="6">
        <f>IFERROR(__xludf.DUMMYFUNCTION("SPLIT(MID(C147,2,LEN(C147)-2), "","")"),2536.0)</f>
        <v>2536</v>
      </c>
      <c r="E147" s="7"/>
      <c r="F147" s="7"/>
      <c r="G147" s="2" t="str">
        <f t="array" ref="G147">IF(ISBLANK(D147), "", INDEX(Categories!$B:$B,MATCH(D147,Categories!$A:$A,0)))</f>
        <v>Carpet Rug &amp; Upholstery Cleaners</v>
      </c>
      <c r="H147" s="7" t="str">
        <f t="array" ref="H147">IF(ISBLANK(E147), "", INDEX(Categories!$B:$B,MATCH(E147,Categories!$A:$A,0)))</f>
        <v/>
      </c>
      <c r="I147" s="7" t="str">
        <f t="array" ref="I147">IF(ISBLANK(F147), "", INDEX(Categories!$B:$B,MATCH(F147,Categories!$A:$A,0)))</f>
        <v/>
      </c>
      <c r="J147" s="4"/>
      <c r="K147" s="4"/>
      <c r="L147" s="4"/>
      <c r="M147" s="4"/>
      <c r="N147" s="4"/>
      <c r="O147" s="4"/>
      <c r="P147" s="4"/>
      <c r="Q147" s="4"/>
    </row>
    <row r="148">
      <c r="A148" s="5">
        <v>147.0</v>
      </c>
      <c r="B148" s="5" t="s">
        <v>239</v>
      </c>
      <c r="C148" s="5" t="s">
        <v>240</v>
      </c>
      <c r="D148" s="6">
        <f>IFERROR(__xludf.DUMMYFUNCTION("SPLIT(MID(C148,2,LEN(C148)-2), "","")"),580.0)</f>
        <v>580</v>
      </c>
      <c r="E148" s="7"/>
      <c r="F148" s="7"/>
      <c r="G148" s="2" t="str">
        <f t="array" ref="G148">IF(ISBLANK(D148), "", INDEX(Categories!$B:$B,MATCH(D148,Categories!$A:$A,0)))</f>
        <v>Coffee &amp; Tea Retail</v>
      </c>
      <c r="H148" s="7" t="str">
        <f t="array" ref="H148">IF(ISBLANK(E148), "", INDEX(Categories!$B:$B,MATCH(E148,Categories!$A:$A,0)))</f>
        <v/>
      </c>
      <c r="I148" s="7" t="str">
        <f t="array" ref="I148">IF(ISBLANK(F148), "", INDEX(Categories!$B:$B,MATCH(F148,Categories!$A:$A,0)))</f>
        <v/>
      </c>
      <c r="J148" s="4"/>
      <c r="K148" s="4"/>
      <c r="L148" s="4"/>
      <c r="M148" s="4"/>
      <c r="N148" s="4"/>
      <c r="O148" s="4"/>
      <c r="P148" s="4"/>
      <c r="Q148" s="4"/>
    </row>
    <row r="149">
      <c r="A149" s="5">
        <v>148.0</v>
      </c>
      <c r="B149" s="5" t="s">
        <v>241</v>
      </c>
      <c r="C149" s="5" t="s">
        <v>18</v>
      </c>
      <c r="D149" s="6">
        <f>IFERROR(__xludf.DUMMYFUNCTION("SPLIT(MID(C149,2,LEN(C149)-2), "","")"),121.0)</f>
        <v>121</v>
      </c>
      <c r="E149" s="7"/>
      <c r="F149" s="7"/>
      <c r="G149" s="2" t="str">
        <f t="array" ref="G149">IF(ISBLANK(D149), "", INDEX(Categories!$B:$B,MATCH(D149,Categories!$A:$A,0)))</f>
        <v>Insurance</v>
      </c>
      <c r="H149" s="7" t="str">
        <f t="array" ref="H149">IF(ISBLANK(E149), "", INDEX(Categories!$B:$B,MATCH(E149,Categories!$A:$A,0)))</f>
        <v/>
      </c>
      <c r="I149" s="7" t="str">
        <f t="array" ref="I149">IF(ISBLANK(F149), "", INDEX(Categories!$B:$B,MATCH(F149,Categories!$A:$A,0)))</f>
        <v/>
      </c>
      <c r="J149" s="4"/>
      <c r="K149" s="4"/>
      <c r="L149" s="4"/>
      <c r="M149" s="4"/>
      <c r="N149" s="4"/>
      <c r="O149" s="4"/>
      <c r="P149" s="4"/>
      <c r="Q149" s="4"/>
    </row>
    <row r="150">
      <c r="A150" s="5">
        <v>149.0</v>
      </c>
      <c r="B150" s="5" t="s">
        <v>242</v>
      </c>
      <c r="C150" s="5" t="s">
        <v>34</v>
      </c>
      <c r="D150" s="6">
        <f>IFERROR(__xludf.DUMMYFUNCTION("SPLIT(MID(C150,2,LEN(C150)-2), "","")"),228.0)</f>
        <v>228</v>
      </c>
      <c r="E150" s="7"/>
      <c r="F150" s="7"/>
      <c r="G150" s="2" t="str">
        <f t="array" ref="G150">IF(ISBLANK(D150), "", INDEX(Categories!$B:$B,MATCH(D150,Categories!$A:$A,0)))</f>
        <v>Restaurants</v>
      </c>
      <c r="H150" s="7" t="str">
        <f t="array" ref="H150">IF(ISBLANK(E150), "", INDEX(Categories!$B:$B,MATCH(E150,Categories!$A:$A,0)))</f>
        <v/>
      </c>
      <c r="I150" s="7" t="str">
        <f t="array" ref="I150">IF(ISBLANK(F150), "", INDEX(Categories!$B:$B,MATCH(F150,Categories!$A:$A,0)))</f>
        <v/>
      </c>
      <c r="J150" s="4"/>
      <c r="K150" s="4"/>
      <c r="L150" s="4"/>
      <c r="M150" s="4"/>
      <c r="N150" s="4"/>
      <c r="O150" s="4"/>
      <c r="P150" s="4"/>
      <c r="Q150" s="4"/>
    </row>
    <row r="151">
      <c r="A151" s="5">
        <v>150.0</v>
      </c>
      <c r="B151" s="5" t="s">
        <v>243</v>
      </c>
      <c r="C151" s="5" t="s">
        <v>87</v>
      </c>
      <c r="D151" s="6">
        <f>IFERROR(__xludf.DUMMYFUNCTION("SPLIT(MID(C151,2,LEN(C151)-2), "","")"),168.0)</f>
        <v>168</v>
      </c>
      <c r="E151" s="7"/>
      <c r="F151" s="7"/>
      <c r="G151" s="2" t="str">
        <f t="array" ref="G151">IF(ISBLANK(D151), "", INDEX(Categories!$B:$B,MATCH(D151,Categories!$A:$A,0)))</f>
        <v>Hotels &amp; Motels</v>
      </c>
      <c r="H151" s="7" t="str">
        <f t="array" ref="H151">IF(ISBLANK(E151), "", INDEX(Categories!$B:$B,MATCH(E151,Categories!$A:$A,0)))</f>
        <v/>
      </c>
      <c r="I151" s="7" t="str">
        <f t="array" ref="I151">IF(ISBLANK(F151), "", INDEX(Categories!$B:$B,MATCH(F151,Categories!$A:$A,0)))</f>
        <v/>
      </c>
      <c r="J151" s="4"/>
      <c r="K151" s="4"/>
      <c r="L151" s="4"/>
      <c r="M151" s="4"/>
      <c r="N151" s="4"/>
      <c r="O151" s="4"/>
      <c r="P151" s="4"/>
      <c r="Q151" s="4"/>
    </row>
    <row r="152">
      <c r="A152" s="5">
        <v>151.0</v>
      </c>
      <c r="B152" s="5" t="s">
        <v>244</v>
      </c>
      <c r="C152" s="5" t="s">
        <v>111</v>
      </c>
      <c r="D152" s="6">
        <f>IFERROR(__xludf.DUMMYFUNCTION("SPLIT(MID(C152,2,LEN(C152)-2), "","")"),444.0)</f>
        <v>444</v>
      </c>
      <c r="E152" s="7"/>
      <c r="F152" s="7"/>
      <c r="G152" s="2" t="str">
        <f t="array" ref="G152">IF(ISBLANK(D152), "", INDEX(Categories!$B:$B,MATCH(D152,Categories!$A:$A,0)))</f>
        <v>Hair Salons &amp; Barbers</v>
      </c>
      <c r="H152" s="7" t="str">
        <f t="array" ref="H152">IF(ISBLANK(E152), "", INDEX(Categories!$B:$B,MATCH(E152,Categories!$A:$A,0)))</f>
        <v/>
      </c>
      <c r="I152" s="7" t="str">
        <f t="array" ref="I152">IF(ISBLANK(F152), "", INDEX(Categories!$B:$B,MATCH(F152,Categories!$A:$A,0)))</f>
        <v/>
      </c>
      <c r="J152" s="4"/>
      <c r="K152" s="4"/>
      <c r="L152" s="4"/>
      <c r="M152" s="4"/>
      <c r="N152" s="4"/>
      <c r="O152" s="4"/>
      <c r="P152" s="4"/>
      <c r="Q152" s="4"/>
    </row>
    <row r="153">
      <c r="A153" s="5">
        <v>152.0</v>
      </c>
      <c r="B153" s="5" t="s">
        <v>245</v>
      </c>
      <c r="C153" s="5" t="s">
        <v>246</v>
      </c>
      <c r="D153" s="6">
        <f>IFERROR(__xludf.DUMMYFUNCTION("SPLIT(MID(C153,2,LEN(C153)-2), "","")"),1587.0)</f>
        <v>1587</v>
      </c>
      <c r="E153" s="7"/>
      <c r="F153" s="7"/>
      <c r="G153" s="2" t="str">
        <f t="array" ref="G153">IF(ISBLANK(D153), "", INDEX(Categories!$B:$B,MATCH(D153,Categories!$A:$A,0)))</f>
        <v>Educational Services</v>
      </c>
      <c r="H153" s="7" t="str">
        <f t="array" ref="H153">IF(ISBLANK(E153), "", INDEX(Categories!$B:$B,MATCH(E153,Categories!$A:$A,0)))</f>
        <v/>
      </c>
      <c r="I153" s="7" t="str">
        <f t="array" ref="I153">IF(ISBLANK(F153), "", INDEX(Categories!$B:$B,MATCH(F153,Categories!$A:$A,0)))</f>
        <v/>
      </c>
      <c r="J153" s="4"/>
      <c r="K153" s="4"/>
      <c r="L153" s="4"/>
      <c r="M153" s="4"/>
      <c r="N153" s="4"/>
      <c r="O153" s="4"/>
      <c r="P153" s="4"/>
      <c r="Q153" s="4"/>
    </row>
    <row r="154">
      <c r="A154" s="5">
        <v>153.0</v>
      </c>
      <c r="B154" s="5" t="s">
        <v>247</v>
      </c>
      <c r="C154" s="5" t="s">
        <v>60</v>
      </c>
      <c r="D154" s="6">
        <f>IFERROR(__xludf.DUMMYFUNCTION("SPLIT(MID(C154,2,LEN(C154)-2), "","")"),240.0)</f>
        <v>240</v>
      </c>
      <c r="E154" s="7"/>
      <c r="F154" s="7"/>
      <c r="G154" s="2" t="str">
        <f t="array" ref="G154">IF(ISBLANK(D154), "", INDEX(Categories!$B:$B,MATCH(D154,Categories!$A:$A,0)))</f>
        <v>Restaurants Fast Food</v>
      </c>
      <c r="H154" s="7" t="str">
        <f t="array" ref="H154">IF(ISBLANK(E154), "", INDEX(Categories!$B:$B,MATCH(E154,Categories!$A:$A,0)))</f>
        <v/>
      </c>
      <c r="I154" s="7" t="str">
        <f t="array" ref="I154">IF(ISBLANK(F154), "", INDEX(Categories!$B:$B,MATCH(F154,Categories!$A:$A,0)))</f>
        <v/>
      </c>
      <c r="J154" s="4"/>
      <c r="K154" s="4"/>
      <c r="L154" s="4"/>
      <c r="M154" s="4"/>
      <c r="N154" s="4"/>
      <c r="O154" s="4"/>
      <c r="P154" s="4"/>
      <c r="Q154" s="4"/>
    </row>
    <row r="155">
      <c r="A155" s="5">
        <v>154.0</v>
      </c>
      <c r="B155" s="5" t="s">
        <v>248</v>
      </c>
      <c r="C155" s="5" t="s">
        <v>249</v>
      </c>
      <c r="D155" s="6">
        <f>IFERROR(__xludf.DUMMYFUNCTION("SPLIT(MID(C155,2,LEN(C155)-2), "","")"),593.0)</f>
        <v>593</v>
      </c>
      <c r="E155" s="7"/>
      <c r="F155" s="7"/>
      <c r="G155" s="2" t="str">
        <f t="array" ref="G155">IF(ISBLANK(D155), "", INDEX(Categories!$B:$B,MATCH(D155,Categories!$A:$A,0)))</f>
        <v>Ice Cream &amp; Frozen Desserts Dealers</v>
      </c>
      <c r="H155" s="7" t="str">
        <f t="array" ref="H155">IF(ISBLANK(E155), "", INDEX(Categories!$B:$B,MATCH(E155,Categories!$A:$A,0)))</f>
        <v/>
      </c>
      <c r="I155" s="7" t="str">
        <f t="array" ref="I155">IF(ISBLANK(F155), "", INDEX(Categories!$B:$B,MATCH(F155,Categories!$A:$A,0)))</f>
        <v/>
      </c>
      <c r="J155" s="4"/>
      <c r="K155" s="4"/>
      <c r="L155" s="4"/>
      <c r="M155" s="4"/>
      <c r="N155" s="4"/>
      <c r="O155" s="4"/>
      <c r="P155" s="4"/>
      <c r="Q155" s="4"/>
    </row>
    <row r="156">
      <c r="A156" s="5">
        <v>155.0</v>
      </c>
      <c r="B156" s="5" t="s">
        <v>250</v>
      </c>
      <c r="C156" s="5" t="s">
        <v>194</v>
      </c>
      <c r="D156" s="6">
        <f>IFERROR(__xludf.DUMMYFUNCTION("SPLIT(MID(C156,2,LEN(C156)-2), "","")"),442.0)</f>
        <v>442</v>
      </c>
      <c r="E156" s="7"/>
      <c r="F156" s="7"/>
      <c r="G156" s="2" t="str">
        <f t="array" ref="G156">IF(ISBLANK(D156), "", INDEX(Categories!$B:$B,MATCH(D156,Categories!$A:$A,0)))</f>
        <v>Pest Control Services</v>
      </c>
      <c r="H156" s="7" t="str">
        <f t="array" ref="H156">IF(ISBLANK(E156), "", INDEX(Categories!$B:$B,MATCH(E156,Categories!$A:$A,0)))</f>
        <v/>
      </c>
      <c r="I156" s="7" t="str">
        <f t="array" ref="I156">IF(ISBLANK(F156), "", INDEX(Categories!$B:$B,MATCH(F156,Categories!$A:$A,0)))</f>
        <v/>
      </c>
      <c r="J156" s="4"/>
      <c r="K156" s="4"/>
      <c r="L156" s="4"/>
      <c r="M156" s="4"/>
      <c r="N156" s="4"/>
      <c r="O156" s="4"/>
      <c r="P156" s="4"/>
      <c r="Q156" s="4"/>
    </row>
    <row r="157">
      <c r="A157" s="5">
        <v>156.0</v>
      </c>
      <c r="B157" s="5" t="s">
        <v>251</v>
      </c>
      <c r="C157" s="5" t="s">
        <v>58</v>
      </c>
      <c r="D157" s="6">
        <f>IFERROR(__xludf.DUMMYFUNCTION("SPLIT(MID(C157,2,LEN(C157)-2), "","")"),1170.0)</f>
        <v>1170</v>
      </c>
      <c r="E157" s="7"/>
      <c r="F157" s="7"/>
      <c r="G157" s="2" t="str">
        <f t="array" ref="G157">IF(ISBLANK(D157), "", INDEX(Categories!$B:$B,MATCH(D157,Categories!$A:$A,0)))</f>
        <v>Gasoline Retail</v>
      </c>
      <c r="H157" s="7" t="str">
        <f t="array" ref="H157">IF(ISBLANK(E157), "", INDEX(Categories!$B:$B,MATCH(E157,Categories!$A:$A,0)))</f>
        <v/>
      </c>
      <c r="I157" s="7" t="str">
        <f t="array" ref="I157">IF(ISBLANK(F157), "", INDEX(Categories!$B:$B,MATCH(F157,Categories!$A:$A,0)))</f>
        <v/>
      </c>
      <c r="J157" s="4"/>
      <c r="K157" s="4"/>
      <c r="L157" s="4"/>
      <c r="M157" s="4"/>
      <c r="N157" s="4"/>
      <c r="O157" s="4"/>
      <c r="P157" s="4"/>
      <c r="Q157" s="4"/>
    </row>
    <row r="158">
      <c r="A158" s="5">
        <v>157.0</v>
      </c>
      <c r="B158" s="5" t="s">
        <v>252</v>
      </c>
      <c r="C158" s="5" t="s">
        <v>253</v>
      </c>
      <c r="D158" s="6">
        <f>IFERROR(__xludf.DUMMYFUNCTION("SPLIT(MID(C158,2,LEN(C158)-2), "","")"),686.0)</f>
        <v>686</v>
      </c>
      <c r="E158" s="7"/>
      <c r="F158" s="7"/>
      <c r="G158" s="2" t="str">
        <f t="array" ref="G158">IF(ISBLANK(D158), "", INDEX(Categories!$B:$B,MATCH(D158,Categories!$A:$A,0)))</f>
        <v>Gift Shops</v>
      </c>
      <c r="H158" s="7" t="str">
        <f t="array" ref="H158">IF(ISBLANK(E158), "", INDEX(Categories!$B:$B,MATCH(E158,Categories!$A:$A,0)))</f>
        <v/>
      </c>
      <c r="I158" s="7" t="str">
        <f t="array" ref="I158">IF(ISBLANK(F158), "", INDEX(Categories!$B:$B,MATCH(F158,Categories!$A:$A,0)))</f>
        <v/>
      </c>
      <c r="J158" s="4"/>
      <c r="K158" s="4"/>
      <c r="L158" s="4"/>
      <c r="M158" s="4"/>
      <c r="N158" s="4"/>
      <c r="O158" s="4"/>
      <c r="P158" s="4"/>
      <c r="Q158" s="4"/>
    </row>
    <row r="159">
      <c r="A159" s="5">
        <v>158.0</v>
      </c>
      <c r="B159" s="5" t="s">
        <v>254</v>
      </c>
      <c r="C159" s="5" t="s">
        <v>255</v>
      </c>
      <c r="D159" s="6">
        <f>IFERROR(__xludf.DUMMYFUNCTION("SPLIT(MID(C159,2,LEN(C159)-2), "","")"),1462.0)</f>
        <v>1462</v>
      </c>
      <c r="E159" s="7"/>
      <c r="F159" s="7"/>
      <c r="G159" s="2" t="str">
        <f t="array" ref="G159">IF(ISBLANK(D159), "", INDEX(Categories!$B:$B,MATCH(D159,Categories!$A:$A,0)))</f>
        <v>Toys Retail</v>
      </c>
      <c r="H159" s="7" t="str">
        <f t="array" ref="H159">IF(ISBLANK(E159), "", INDEX(Categories!$B:$B,MATCH(E159,Categories!$A:$A,0)))</f>
        <v/>
      </c>
      <c r="I159" s="7" t="str">
        <f t="array" ref="I159">IF(ISBLANK(F159), "", INDEX(Categories!$B:$B,MATCH(F159,Categories!$A:$A,0)))</f>
        <v/>
      </c>
      <c r="J159" s="4"/>
      <c r="K159" s="4"/>
      <c r="L159" s="4"/>
      <c r="M159" s="4"/>
      <c r="N159" s="4"/>
      <c r="O159" s="4"/>
      <c r="P159" s="4"/>
      <c r="Q159" s="4"/>
    </row>
    <row r="160">
      <c r="A160" s="5">
        <v>159.0</v>
      </c>
      <c r="B160" s="5" t="s">
        <v>256</v>
      </c>
      <c r="C160" s="5" t="s">
        <v>135</v>
      </c>
      <c r="D160" s="6">
        <f>IFERROR(__xludf.DUMMYFUNCTION("SPLIT(MID(C160,2,LEN(C160)-2), "","")"),96.0)</f>
        <v>96</v>
      </c>
      <c r="E160" s="7"/>
      <c r="F160" s="7"/>
      <c r="G160" s="2" t="str">
        <f t="array" ref="G160">IF(ISBLANK(D160), "", INDEX(Categories!$B:$B,MATCH(D160,Categories!$A:$A,0)))</f>
        <v>Truck Renting &amp; Leasing</v>
      </c>
      <c r="H160" s="7" t="str">
        <f t="array" ref="H160">IF(ISBLANK(E160), "", INDEX(Categories!$B:$B,MATCH(E160,Categories!$A:$A,0)))</f>
        <v/>
      </c>
      <c r="I160" s="7" t="str">
        <f t="array" ref="I160">IF(ISBLANK(F160), "", INDEX(Categories!$B:$B,MATCH(F160,Categories!$A:$A,0)))</f>
        <v/>
      </c>
      <c r="J160" s="4"/>
      <c r="K160" s="4"/>
      <c r="L160" s="4"/>
      <c r="M160" s="4"/>
      <c r="N160" s="4"/>
      <c r="O160" s="4"/>
      <c r="P160" s="4"/>
      <c r="Q160" s="4"/>
    </row>
    <row r="161">
      <c r="A161" s="5">
        <v>160.0</v>
      </c>
      <c r="B161" s="5" t="s">
        <v>257</v>
      </c>
      <c r="C161" s="5" t="s">
        <v>258</v>
      </c>
      <c r="D161" s="6">
        <f>IFERROR(__xludf.DUMMYFUNCTION("SPLIT(MID(C161,2,LEN(C161)-2), "","")"),405.0)</f>
        <v>405</v>
      </c>
      <c r="E161" s="7"/>
      <c r="F161" s="7"/>
      <c r="G161" s="2" t="str">
        <f t="array" ref="G161">IF(ISBLANK(D161), "", INDEX(Categories!$B:$B,MATCH(D161,Categories!$A:$A,0)))</f>
        <v>Churches Methodist</v>
      </c>
      <c r="H161" s="7" t="str">
        <f t="array" ref="H161">IF(ISBLANK(E161), "", INDEX(Categories!$B:$B,MATCH(E161,Categories!$A:$A,0)))</f>
        <v/>
      </c>
      <c r="I161" s="7" t="str">
        <f t="array" ref="I161">IF(ISBLANK(F161), "", INDEX(Categories!$B:$B,MATCH(F161,Categories!$A:$A,0)))</f>
        <v/>
      </c>
      <c r="J161" s="4"/>
      <c r="K161" s="4"/>
      <c r="L161" s="4"/>
      <c r="M161" s="4"/>
      <c r="N161" s="4"/>
      <c r="O161" s="4"/>
      <c r="P161" s="4"/>
      <c r="Q161" s="4"/>
    </row>
    <row r="162">
      <c r="A162" s="5">
        <v>161.0</v>
      </c>
      <c r="B162" s="5" t="s">
        <v>259</v>
      </c>
      <c r="C162" s="5" t="s">
        <v>260</v>
      </c>
      <c r="D162" s="6">
        <f>IFERROR(__xludf.DUMMYFUNCTION("SPLIT(MID(C162,2,LEN(C162)-2), "","")"),373.0)</f>
        <v>373</v>
      </c>
      <c r="E162" s="7"/>
      <c r="F162" s="7"/>
      <c r="G162" s="2" t="str">
        <f t="array" ref="G162">IF(ISBLANK(D162), "", INDEX(Categories!$B:$B,MATCH(D162,Categories!$A:$A,0)))</f>
        <v>Churches Apostolic</v>
      </c>
      <c r="H162" s="7" t="str">
        <f t="array" ref="H162">IF(ISBLANK(E162), "", INDEX(Categories!$B:$B,MATCH(E162,Categories!$A:$A,0)))</f>
        <v/>
      </c>
      <c r="I162" s="7" t="str">
        <f t="array" ref="I162">IF(ISBLANK(F162), "", INDEX(Categories!$B:$B,MATCH(F162,Categories!$A:$A,0)))</f>
        <v/>
      </c>
      <c r="J162" s="4"/>
      <c r="K162" s="4"/>
      <c r="L162" s="4"/>
      <c r="M162" s="4"/>
      <c r="N162" s="4"/>
      <c r="O162" s="4"/>
      <c r="P162" s="4"/>
      <c r="Q162" s="4"/>
    </row>
    <row r="163">
      <c r="A163" s="5">
        <v>162.0</v>
      </c>
      <c r="B163" s="5" t="s">
        <v>261</v>
      </c>
      <c r="C163" s="5" t="s">
        <v>262</v>
      </c>
      <c r="D163" s="6">
        <f>IFERROR(__xludf.DUMMYFUNCTION("SPLIT(MID(C163,2,LEN(C163)-2), "","")"),1273.0)</f>
        <v>1273</v>
      </c>
      <c r="E163" s="7"/>
      <c r="F163" s="7"/>
      <c r="G163" s="2" t="str">
        <f t="array" ref="G163">IF(ISBLANK(D163), "", INDEX(Categories!$B:$B,MATCH(D163,Categories!$A:$A,0)))</f>
        <v>Womens Apparel Wholesale &amp; Manufacturers</v>
      </c>
      <c r="H163" s="7" t="str">
        <f t="array" ref="H163">IF(ISBLANK(E163), "", INDEX(Categories!$B:$B,MATCH(E163,Categories!$A:$A,0)))</f>
        <v/>
      </c>
      <c r="I163" s="7" t="str">
        <f t="array" ref="I163">IF(ISBLANK(F163), "", INDEX(Categories!$B:$B,MATCH(F163,Categories!$A:$A,0)))</f>
        <v/>
      </c>
      <c r="J163" s="4"/>
      <c r="K163" s="4"/>
      <c r="L163" s="4"/>
      <c r="M163" s="4"/>
      <c r="N163" s="4"/>
      <c r="O163" s="4"/>
      <c r="P163" s="4"/>
      <c r="Q163" s="4"/>
    </row>
    <row r="164">
      <c r="A164" s="5">
        <v>163.0</v>
      </c>
      <c r="B164" s="5" t="s">
        <v>263</v>
      </c>
      <c r="C164" s="5" t="s">
        <v>34</v>
      </c>
      <c r="D164" s="6">
        <f>IFERROR(__xludf.DUMMYFUNCTION("SPLIT(MID(C164,2,LEN(C164)-2), "","")"),228.0)</f>
        <v>228</v>
      </c>
      <c r="E164" s="7"/>
      <c r="F164" s="7"/>
      <c r="G164" s="2" t="str">
        <f t="array" ref="G164">IF(ISBLANK(D164), "", INDEX(Categories!$B:$B,MATCH(D164,Categories!$A:$A,0)))</f>
        <v>Restaurants</v>
      </c>
      <c r="H164" s="7" t="str">
        <f t="array" ref="H164">IF(ISBLANK(E164), "", INDEX(Categories!$B:$B,MATCH(E164,Categories!$A:$A,0)))</f>
        <v/>
      </c>
      <c r="I164" s="7" t="str">
        <f t="array" ref="I164">IF(ISBLANK(F164), "", INDEX(Categories!$B:$B,MATCH(F164,Categories!$A:$A,0)))</f>
        <v/>
      </c>
      <c r="J164" s="4"/>
      <c r="K164" s="4"/>
      <c r="L164" s="4"/>
      <c r="M164" s="4"/>
      <c r="N164" s="4"/>
      <c r="O164" s="4"/>
      <c r="P164" s="4"/>
      <c r="Q164" s="4"/>
    </row>
    <row r="165">
      <c r="A165" s="5">
        <v>164.0</v>
      </c>
      <c r="B165" s="5" t="s">
        <v>264</v>
      </c>
      <c r="C165" s="5" t="s">
        <v>170</v>
      </c>
      <c r="D165" s="6">
        <f>IFERROR(__xludf.DUMMYFUNCTION("SPLIT(MID(C165,2,LEN(C165)-2), "","")"),189.0)</f>
        <v>189</v>
      </c>
      <c r="E165" s="7"/>
      <c r="F165" s="7"/>
      <c r="G165" s="2" t="str">
        <f t="array" ref="G165">IF(ISBLANK(D165), "", INDEX(Categories!$B:$B,MATCH(D165,Categories!$A:$A,0)))</f>
        <v>Pharmacies</v>
      </c>
      <c r="H165" s="7" t="str">
        <f t="array" ref="H165">IF(ISBLANK(E165), "", INDEX(Categories!$B:$B,MATCH(E165,Categories!$A:$A,0)))</f>
        <v/>
      </c>
      <c r="I165" s="7" t="str">
        <f t="array" ref="I165">IF(ISBLANK(F165), "", INDEX(Categories!$B:$B,MATCH(F165,Categories!$A:$A,0)))</f>
        <v/>
      </c>
      <c r="J165" s="4"/>
      <c r="K165" s="4"/>
      <c r="L165" s="4"/>
      <c r="M165" s="4"/>
      <c r="N165" s="4"/>
      <c r="O165" s="4"/>
      <c r="P165" s="4"/>
      <c r="Q165" s="4"/>
    </row>
    <row r="166">
      <c r="A166" s="5">
        <v>165.0</v>
      </c>
      <c r="B166" s="5" t="s">
        <v>265</v>
      </c>
      <c r="C166" s="5" t="s">
        <v>266</v>
      </c>
      <c r="D166" s="6">
        <f>IFERROR(__xludf.DUMMYFUNCTION("SPLIT(MID(C166,2,LEN(C166)-2), "","")"),429.0)</f>
        <v>429</v>
      </c>
      <c r="E166" s="7"/>
      <c r="F166" s="7"/>
      <c r="G166" s="2" t="str">
        <f t="array" ref="G166">IF(ISBLANK(D166), "", INDEX(Categories!$B:$B,MATCH(D166,Categories!$A:$A,0)))</f>
        <v>Bookstores</v>
      </c>
      <c r="H166" s="7" t="str">
        <f t="array" ref="H166">IF(ISBLANK(E166), "", INDEX(Categories!$B:$B,MATCH(E166,Categories!$A:$A,0)))</f>
        <v/>
      </c>
      <c r="I166" s="7" t="str">
        <f t="array" ref="I166">IF(ISBLANK(F166), "", INDEX(Categories!$B:$B,MATCH(F166,Categories!$A:$A,0)))</f>
        <v/>
      </c>
      <c r="J166" s="4"/>
      <c r="K166" s="4"/>
      <c r="L166" s="4"/>
      <c r="M166" s="4"/>
      <c r="N166" s="4"/>
      <c r="O166" s="4"/>
      <c r="P166" s="4"/>
      <c r="Q166" s="4"/>
    </row>
    <row r="167">
      <c r="A167" s="5">
        <v>166.0</v>
      </c>
      <c r="B167" s="5" t="s">
        <v>267</v>
      </c>
      <c r="C167" s="5" t="s">
        <v>170</v>
      </c>
      <c r="D167" s="6">
        <f>IFERROR(__xludf.DUMMYFUNCTION("SPLIT(MID(C167,2,LEN(C167)-2), "","")"),189.0)</f>
        <v>189</v>
      </c>
      <c r="E167" s="7"/>
      <c r="F167" s="7"/>
      <c r="G167" s="2" t="str">
        <f t="array" ref="G167">IF(ISBLANK(D167), "", INDEX(Categories!$B:$B,MATCH(D167,Categories!$A:$A,0)))</f>
        <v>Pharmacies</v>
      </c>
      <c r="H167" s="7" t="str">
        <f t="array" ref="H167">IF(ISBLANK(E167), "", INDEX(Categories!$B:$B,MATCH(E167,Categories!$A:$A,0)))</f>
        <v/>
      </c>
      <c r="I167" s="7" t="str">
        <f t="array" ref="I167">IF(ISBLANK(F167), "", INDEX(Categories!$B:$B,MATCH(F167,Categories!$A:$A,0)))</f>
        <v/>
      </c>
      <c r="J167" s="4"/>
      <c r="K167" s="4"/>
      <c r="L167" s="4"/>
      <c r="M167" s="4"/>
      <c r="N167" s="4"/>
      <c r="O167" s="4"/>
      <c r="P167" s="4"/>
      <c r="Q167" s="4"/>
    </row>
    <row r="168">
      <c r="A168" s="5">
        <v>167.0</v>
      </c>
      <c r="B168" s="5" t="s">
        <v>268</v>
      </c>
      <c r="C168" s="5" t="s">
        <v>43</v>
      </c>
      <c r="D168" s="6">
        <f>IFERROR(__xludf.DUMMYFUNCTION("SPLIT(MID(C168,2,LEN(C168)-2), "","")"),292.0)</f>
        <v>292</v>
      </c>
      <c r="E168" s="7"/>
      <c r="F168" s="7"/>
      <c r="G168" s="2" t="str">
        <f t="array" ref="G168">IF(ISBLANK(D168), "", INDEX(Categories!$B:$B,MATCH(D168,Categories!$A:$A,0)))</f>
        <v>Banks</v>
      </c>
      <c r="H168" s="7" t="str">
        <f t="array" ref="H168">IF(ISBLANK(E168), "", INDEX(Categories!$B:$B,MATCH(E168,Categories!$A:$A,0)))</f>
        <v/>
      </c>
      <c r="I168" s="7" t="str">
        <f t="array" ref="I168">IF(ISBLANK(F168), "", INDEX(Categories!$B:$B,MATCH(F168,Categories!$A:$A,0)))</f>
        <v/>
      </c>
      <c r="J168" s="4"/>
      <c r="K168" s="4"/>
      <c r="L168" s="4"/>
      <c r="M168" s="4"/>
      <c r="N168" s="4"/>
      <c r="O168" s="4"/>
      <c r="P168" s="4"/>
      <c r="Q168" s="4"/>
    </row>
    <row r="169">
      <c r="A169" s="5">
        <v>168.0</v>
      </c>
      <c r="B169" s="5" t="s">
        <v>269</v>
      </c>
      <c r="C169" s="5" t="s">
        <v>60</v>
      </c>
      <c r="D169" s="6">
        <f>IFERROR(__xludf.DUMMYFUNCTION("SPLIT(MID(C169,2,LEN(C169)-2), "","")"),240.0)</f>
        <v>240</v>
      </c>
      <c r="E169" s="7"/>
      <c r="F169" s="7"/>
      <c r="G169" s="2" t="str">
        <f t="array" ref="G169">IF(ISBLANK(D169), "", INDEX(Categories!$B:$B,MATCH(D169,Categories!$A:$A,0)))</f>
        <v>Restaurants Fast Food</v>
      </c>
      <c r="H169" s="7" t="str">
        <f t="array" ref="H169">IF(ISBLANK(E169), "", INDEX(Categories!$B:$B,MATCH(E169,Categories!$A:$A,0)))</f>
        <v/>
      </c>
      <c r="I169" s="7" t="str">
        <f t="array" ref="I169">IF(ISBLANK(F169), "", INDEX(Categories!$B:$B,MATCH(F169,Categories!$A:$A,0)))</f>
        <v/>
      </c>
      <c r="J169" s="4"/>
      <c r="K169" s="4"/>
      <c r="L169" s="4"/>
      <c r="M169" s="4"/>
      <c r="N169" s="4"/>
      <c r="O169" s="4"/>
      <c r="P169" s="4"/>
      <c r="Q169" s="4"/>
    </row>
    <row r="170">
      <c r="A170" s="5">
        <v>169.0</v>
      </c>
      <c r="B170" s="5" t="s">
        <v>270</v>
      </c>
      <c r="C170" s="5" t="s">
        <v>16</v>
      </c>
      <c r="D170" s="6">
        <f>IFERROR(__xludf.DUMMYFUNCTION("SPLIT(MID(C170,2,LEN(C170)-2), "","")"),51.0)</f>
        <v>51</v>
      </c>
      <c r="E170" s="7"/>
      <c r="F170" s="7"/>
      <c r="G170" s="2" t="str">
        <f t="array" ref="G170">IF(ISBLANK(D170), "", INDEX(Categories!$B:$B,MATCH(D170,Categories!$A:$A,0)))</f>
        <v>Automobile Parts &amp; Supplies</v>
      </c>
      <c r="H170" s="7" t="str">
        <f t="array" ref="H170">IF(ISBLANK(E170), "", INDEX(Categories!$B:$B,MATCH(E170,Categories!$A:$A,0)))</f>
        <v/>
      </c>
      <c r="I170" s="7" t="str">
        <f t="array" ref="I170">IF(ISBLANK(F170), "", INDEX(Categories!$B:$B,MATCH(F170,Categories!$A:$A,0)))</f>
        <v/>
      </c>
      <c r="J170" s="4"/>
      <c r="K170" s="4"/>
      <c r="L170" s="4"/>
      <c r="M170" s="4"/>
      <c r="N170" s="4"/>
      <c r="O170" s="4"/>
      <c r="P170" s="4"/>
      <c r="Q170" s="4"/>
    </row>
    <row r="171">
      <c r="A171" s="5">
        <v>170.0</v>
      </c>
      <c r="B171" s="5" t="s">
        <v>271</v>
      </c>
      <c r="C171" s="5" t="s">
        <v>272</v>
      </c>
      <c r="D171" s="6">
        <f>IFERROR(__xludf.DUMMYFUNCTION("SPLIT(MID(C171,2,LEN(C171)-2), "","")"),897.0)</f>
        <v>897</v>
      </c>
      <c r="E171" s="7"/>
      <c r="F171" s="7"/>
      <c r="G171" s="2" t="str">
        <f t="array" ref="G171">IF(ISBLANK(D171), "", INDEX(Categories!$B:$B,MATCH(D171,Categories!$A:$A,0)))</f>
        <v>Money Order Transfer Service</v>
      </c>
      <c r="H171" s="7" t="str">
        <f t="array" ref="H171">IF(ISBLANK(E171), "", INDEX(Categories!$B:$B,MATCH(E171,Categories!$A:$A,0)))</f>
        <v/>
      </c>
      <c r="I171" s="7" t="str">
        <f t="array" ref="I171">IF(ISBLANK(F171), "", INDEX(Categories!$B:$B,MATCH(F171,Categories!$A:$A,0)))</f>
        <v/>
      </c>
      <c r="J171" s="4"/>
      <c r="K171" s="4"/>
      <c r="L171" s="4"/>
      <c r="M171" s="4"/>
      <c r="N171" s="4"/>
      <c r="O171" s="4"/>
      <c r="P171" s="4"/>
      <c r="Q171" s="4"/>
    </row>
    <row r="172">
      <c r="A172" s="5">
        <v>171.0</v>
      </c>
      <c r="B172" s="5" t="s">
        <v>273</v>
      </c>
      <c r="C172" s="5" t="s">
        <v>274</v>
      </c>
      <c r="D172" s="6">
        <f>IFERROR(__xludf.DUMMYFUNCTION("SPLIT(MID(C172,2,LEN(C172)-2), "","")"),619.0)</f>
        <v>619</v>
      </c>
      <c r="E172" s="7"/>
      <c r="F172" s="7"/>
      <c r="G172" s="2" t="str">
        <f t="array" ref="G172">IF(ISBLANK(D172), "", INDEX(Categories!$B:$B,MATCH(D172,Categories!$A:$A,0)))</f>
        <v>Jewelry</v>
      </c>
      <c r="H172" s="7" t="str">
        <f t="array" ref="H172">IF(ISBLANK(E172), "", INDEX(Categories!$B:$B,MATCH(E172,Categories!$A:$A,0)))</f>
        <v/>
      </c>
      <c r="I172" s="7" t="str">
        <f t="array" ref="I172">IF(ISBLANK(F172), "", INDEX(Categories!$B:$B,MATCH(F172,Categories!$A:$A,0)))</f>
        <v/>
      </c>
      <c r="J172" s="4"/>
      <c r="K172" s="4"/>
      <c r="L172" s="4"/>
      <c r="M172" s="4"/>
      <c r="N172" s="4"/>
      <c r="O172" s="4"/>
      <c r="P172" s="4"/>
      <c r="Q172" s="4"/>
    </row>
    <row r="173">
      <c r="A173" s="5">
        <v>172.0</v>
      </c>
      <c r="B173" s="5" t="s">
        <v>275</v>
      </c>
      <c r="C173" s="5" t="s">
        <v>276</v>
      </c>
      <c r="D173" s="6">
        <f>IFERROR(__xludf.DUMMYFUNCTION("SPLIT(MID(C173,2,LEN(C173)-2), "","")"),409.0)</f>
        <v>409</v>
      </c>
      <c r="E173" s="7"/>
      <c r="F173" s="7"/>
      <c r="G173" s="2" t="str">
        <f t="array" ref="G173">IF(ISBLANK(D173), "", INDEX(Categories!$B:$B,MATCH(D173,Categories!$A:$A,0)))</f>
        <v>Churches Presbyterian</v>
      </c>
      <c r="H173" s="7" t="str">
        <f t="array" ref="H173">IF(ISBLANK(E173), "", INDEX(Categories!$B:$B,MATCH(E173,Categories!$A:$A,0)))</f>
        <v/>
      </c>
      <c r="I173" s="7" t="str">
        <f t="array" ref="I173">IF(ISBLANK(F173), "", INDEX(Categories!$B:$B,MATCH(F173,Categories!$A:$A,0)))</f>
        <v/>
      </c>
      <c r="J173" s="4"/>
      <c r="K173" s="4"/>
      <c r="L173" s="4"/>
      <c r="M173" s="4"/>
      <c r="N173" s="4"/>
      <c r="O173" s="4"/>
      <c r="P173" s="4"/>
      <c r="Q173" s="4"/>
    </row>
    <row r="174">
      <c r="A174" s="5">
        <v>173.0</v>
      </c>
      <c r="B174" s="5" t="s">
        <v>277</v>
      </c>
      <c r="C174" s="5" t="s">
        <v>278</v>
      </c>
      <c r="D174" s="6">
        <f>IFERROR(__xludf.DUMMYFUNCTION("SPLIT(MID(C174,2,LEN(C174)-2), "","")"),2766.0)</f>
        <v>2766</v>
      </c>
      <c r="E174" s="7"/>
      <c r="F174" s="7"/>
      <c r="G174" s="2" t="str">
        <f t="array" ref="G174">IF(ISBLANK(D174), "", INDEX(Categories!$B:$B,MATCH(D174,Categories!$A:$A,0)))</f>
        <v>Construction Supplies &amp; Services</v>
      </c>
      <c r="H174" s="7" t="str">
        <f t="array" ref="H174">IF(ISBLANK(E174), "", INDEX(Categories!$B:$B,MATCH(E174,Categories!$A:$A,0)))</f>
        <v/>
      </c>
      <c r="I174" s="7" t="str">
        <f t="array" ref="I174">IF(ISBLANK(F174), "", INDEX(Categories!$B:$B,MATCH(F174,Categories!$A:$A,0)))</f>
        <v/>
      </c>
      <c r="J174" s="4"/>
      <c r="K174" s="4"/>
      <c r="L174" s="4"/>
      <c r="M174" s="4"/>
      <c r="N174" s="4"/>
      <c r="O174" s="4"/>
      <c r="P174" s="4"/>
      <c r="Q174" s="4"/>
    </row>
    <row r="175">
      <c r="A175" s="5">
        <v>174.0</v>
      </c>
      <c r="B175" s="5" t="s">
        <v>279</v>
      </c>
      <c r="C175" s="5" t="s">
        <v>280</v>
      </c>
      <c r="D175" s="6">
        <f>IFERROR(__xludf.DUMMYFUNCTION("SPLIT(MID(C175,2,LEN(C175)-2), "","")"),936.0)</f>
        <v>936</v>
      </c>
      <c r="E175" s="7"/>
      <c r="F175" s="7"/>
      <c r="G175" s="2" t="str">
        <f t="array" ref="G175">IF(ISBLANK(D175), "", INDEX(Categories!$B:$B,MATCH(D175,Categories!$A:$A,0)))</f>
        <v>Loans</v>
      </c>
      <c r="H175" s="7" t="str">
        <f t="array" ref="H175">IF(ISBLANK(E175), "", INDEX(Categories!$B:$B,MATCH(E175,Categories!$A:$A,0)))</f>
        <v/>
      </c>
      <c r="I175" s="7" t="str">
        <f t="array" ref="I175">IF(ISBLANK(F175), "", INDEX(Categories!$B:$B,MATCH(F175,Categories!$A:$A,0)))</f>
        <v/>
      </c>
      <c r="J175" s="4"/>
      <c r="K175" s="4"/>
      <c r="L175" s="4"/>
      <c r="M175" s="4"/>
      <c r="N175" s="4"/>
      <c r="O175" s="4"/>
      <c r="P175" s="4"/>
      <c r="Q175" s="4"/>
    </row>
    <row r="176">
      <c r="A176" s="5">
        <v>175.0</v>
      </c>
      <c r="B176" s="5" t="s">
        <v>281</v>
      </c>
      <c r="C176" s="5" t="s">
        <v>41</v>
      </c>
      <c r="D176" s="6">
        <f>IFERROR(__xludf.DUMMYFUNCTION("SPLIT(MID(C176,2,LEN(C176)-2), "","")"),93.0)</f>
        <v>93</v>
      </c>
      <c r="E176" s="7"/>
      <c r="F176" s="7"/>
      <c r="G176" s="2" t="str">
        <f t="array" ref="G176">IF(ISBLANK(D176), "", INDEX(Categories!$B:$B,MATCH(D176,Categories!$A:$A,0)))</f>
        <v>Automobile - Rentals</v>
      </c>
      <c r="H176" s="7" t="str">
        <f t="array" ref="H176">IF(ISBLANK(E176), "", INDEX(Categories!$B:$B,MATCH(E176,Categories!$A:$A,0)))</f>
        <v/>
      </c>
      <c r="I176" s="7" t="str">
        <f t="array" ref="I176">IF(ISBLANK(F176), "", INDEX(Categories!$B:$B,MATCH(F176,Categories!$A:$A,0)))</f>
        <v/>
      </c>
      <c r="J176" s="4"/>
      <c r="K176" s="4"/>
      <c r="L176" s="4"/>
      <c r="M176" s="4"/>
      <c r="N176" s="4"/>
      <c r="O176" s="4"/>
      <c r="P176" s="4"/>
      <c r="Q176" s="4"/>
    </row>
    <row r="177">
      <c r="A177" s="5">
        <v>176.0</v>
      </c>
      <c r="B177" s="5" t="s">
        <v>282</v>
      </c>
      <c r="C177" s="5" t="s">
        <v>96</v>
      </c>
      <c r="D177" s="6">
        <f>IFERROR(__xludf.DUMMYFUNCTION("SPLIT(MID(C177,2,LEN(C177)-2), "","")"),572.0)</f>
        <v>572</v>
      </c>
      <c r="E177" s="7"/>
      <c r="F177" s="7"/>
      <c r="G177" s="2" t="str">
        <f t="array" ref="G177">IF(ISBLANK(D177), "", INDEX(Categories!$B:$B,MATCH(D177,Categories!$A:$A,0)))</f>
        <v>Groceries</v>
      </c>
      <c r="H177" s="7" t="str">
        <f t="array" ref="H177">IF(ISBLANK(E177), "", INDEX(Categories!$B:$B,MATCH(E177,Categories!$A:$A,0)))</f>
        <v/>
      </c>
      <c r="I177" s="7" t="str">
        <f t="array" ref="I177">IF(ISBLANK(F177), "", INDEX(Categories!$B:$B,MATCH(F177,Categories!$A:$A,0)))</f>
        <v/>
      </c>
      <c r="J177" s="4"/>
      <c r="K177" s="4"/>
      <c r="L177" s="4"/>
      <c r="M177" s="4"/>
      <c r="N177" s="4"/>
      <c r="O177" s="4"/>
      <c r="P177" s="4"/>
      <c r="Q177" s="4"/>
    </row>
    <row r="178">
      <c r="A178" s="5">
        <v>177.0</v>
      </c>
      <c r="B178" s="5" t="s">
        <v>283</v>
      </c>
      <c r="C178" s="5" t="s">
        <v>284</v>
      </c>
      <c r="D178" s="6">
        <f>IFERROR(__xludf.DUMMYFUNCTION("SPLIT(MID(C178,2,LEN(C178)-2), "","")"),1189.0)</f>
        <v>1189</v>
      </c>
      <c r="E178" s="7"/>
      <c r="F178" s="7"/>
      <c r="G178" s="2" t="str">
        <f t="array" ref="G178">IF(ISBLANK(D178), "", INDEX(Categories!$B:$B,MATCH(D178,Categories!$A:$A,0)))</f>
        <v>Trucking Motor Freight</v>
      </c>
      <c r="H178" s="7" t="str">
        <f t="array" ref="H178">IF(ISBLANK(E178), "", INDEX(Categories!$B:$B,MATCH(E178,Categories!$A:$A,0)))</f>
        <v/>
      </c>
      <c r="I178" s="7" t="str">
        <f t="array" ref="I178">IF(ISBLANK(F178), "", INDEX(Categories!$B:$B,MATCH(F178,Categories!$A:$A,0)))</f>
        <v/>
      </c>
      <c r="J178" s="4"/>
      <c r="K178" s="4"/>
      <c r="L178" s="4"/>
      <c r="M178" s="4"/>
      <c r="N178" s="4"/>
      <c r="O178" s="4"/>
      <c r="P178" s="4"/>
      <c r="Q178" s="4"/>
    </row>
    <row r="179">
      <c r="A179" s="5">
        <v>178.0</v>
      </c>
      <c r="B179" s="5" t="s">
        <v>285</v>
      </c>
      <c r="C179" s="5" t="s">
        <v>286</v>
      </c>
      <c r="D179" s="6">
        <f>IFERROR(__xludf.DUMMYFUNCTION("SPLIT(MID(C179,2,LEN(C179)-2), "","")"),2487.0)</f>
        <v>2487</v>
      </c>
      <c r="E179" s="7"/>
      <c r="F179" s="7"/>
      <c r="G179" s="2" t="str">
        <f t="array" ref="G179">IF(ISBLANK(D179), "", INDEX(Categories!$B:$B,MATCH(D179,Categories!$A:$A,0)))</f>
        <v>Fund Raising Counselors &amp; Organizations</v>
      </c>
      <c r="H179" s="7" t="str">
        <f t="array" ref="H179">IF(ISBLANK(E179), "", INDEX(Categories!$B:$B,MATCH(E179,Categories!$A:$A,0)))</f>
        <v/>
      </c>
      <c r="I179" s="7" t="str">
        <f t="array" ref="I179">IF(ISBLANK(F179), "", INDEX(Categories!$B:$B,MATCH(F179,Categories!$A:$A,0)))</f>
        <v/>
      </c>
      <c r="J179" s="4"/>
      <c r="K179" s="4"/>
      <c r="L179" s="4"/>
      <c r="M179" s="4"/>
      <c r="N179" s="4"/>
      <c r="O179" s="4"/>
      <c r="P179" s="4"/>
      <c r="Q179" s="4"/>
    </row>
    <row r="180">
      <c r="A180" s="5">
        <v>179.0</v>
      </c>
      <c r="B180" s="5" t="s">
        <v>287</v>
      </c>
      <c r="C180" s="5" t="s">
        <v>288</v>
      </c>
      <c r="D180" s="6">
        <f>IFERROR(__xludf.DUMMYFUNCTION("SPLIT(MID(C180,2,LEN(C180)-2), "","")"),1322.0)</f>
        <v>1322</v>
      </c>
      <c r="E180" s="7"/>
      <c r="F180" s="7"/>
      <c r="G180" s="2" t="str">
        <f t="array" ref="G180">IF(ISBLANK(D180), "", INDEX(Categories!$B:$B,MATCH(D180,Categories!$A:$A,0)))</f>
        <v>Financial Consultants</v>
      </c>
      <c r="H180" s="7" t="str">
        <f t="array" ref="H180">IF(ISBLANK(E180), "", INDEX(Categories!$B:$B,MATCH(E180,Categories!$A:$A,0)))</f>
        <v/>
      </c>
      <c r="I180" s="7" t="str">
        <f t="array" ref="I180">IF(ISBLANK(F180), "", INDEX(Categories!$B:$B,MATCH(F180,Categories!$A:$A,0)))</f>
        <v/>
      </c>
      <c r="J180" s="4"/>
      <c r="K180" s="4"/>
      <c r="L180" s="4"/>
      <c r="M180" s="4"/>
      <c r="N180" s="4"/>
      <c r="O180" s="4"/>
      <c r="P180" s="4"/>
      <c r="Q180" s="4"/>
    </row>
    <row r="181">
      <c r="A181" s="5">
        <v>180.0</v>
      </c>
      <c r="B181" s="5" t="s">
        <v>289</v>
      </c>
      <c r="C181" s="5" t="s">
        <v>290</v>
      </c>
      <c r="D181" s="6">
        <f>IFERROR(__xludf.DUMMYFUNCTION("SPLIT(MID(C181,2,LEN(C181)-2), "","")"),2035.0)</f>
        <v>2035</v>
      </c>
      <c r="E181" s="7"/>
      <c r="F181" s="7"/>
      <c r="G181" s="2" t="str">
        <f t="array" ref="G181">IF(ISBLANK(D181), "", INDEX(Categories!$B:$B,MATCH(D181,Categories!$A:$A,0)))</f>
        <v>Home Health Care Services</v>
      </c>
      <c r="H181" s="7" t="str">
        <f t="array" ref="H181">IF(ISBLANK(E181), "", INDEX(Categories!$B:$B,MATCH(E181,Categories!$A:$A,0)))</f>
        <v/>
      </c>
      <c r="I181" s="7" t="str">
        <f t="array" ref="I181">IF(ISBLANK(F181), "", INDEX(Categories!$B:$B,MATCH(F181,Categories!$A:$A,0)))</f>
        <v/>
      </c>
      <c r="J181" s="4"/>
      <c r="K181" s="4"/>
      <c r="L181" s="4"/>
      <c r="M181" s="4"/>
      <c r="N181" s="4"/>
      <c r="O181" s="4"/>
      <c r="P181" s="4"/>
      <c r="Q181" s="4"/>
    </row>
    <row r="182">
      <c r="A182" s="5">
        <v>181.0</v>
      </c>
      <c r="B182" s="5" t="s">
        <v>291</v>
      </c>
      <c r="C182" s="5" t="s">
        <v>60</v>
      </c>
      <c r="D182" s="6">
        <f>IFERROR(__xludf.DUMMYFUNCTION("SPLIT(MID(C182,2,LEN(C182)-2), "","")"),240.0)</f>
        <v>240</v>
      </c>
      <c r="E182" s="7"/>
      <c r="F182" s="7"/>
      <c r="G182" s="2" t="str">
        <f t="array" ref="G182">IF(ISBLANK(D182), "", INDEX(Categories!$B:$B,MATCH(D182,Categories!$A:$A,0)))</f>
        <v>Restaurants Fast Food</v>
      </c>
      <c r="H182" s="7" t="str">
        <f t="array" ref="H182">IF(ISBLANK(E182), "", INDEX(Categories!$B:$B,MATCH(E182,Categories!$A:$A,0)))</f>
        <v/>
      </c>
      <c r="I182" s="7" t="str">
        <f t="array" ref="I182">IF(ISBLANK(F182), "", INDEX(Categories!$B:$B,MATCH(F182,Categories!$A:$A,0)))</f>
        <v/>
      </c>
      <c r="J182" s="4"/>
      <c r="K182" s="4"/>
      <c r="L182" s="4"/>
      <c r="M182" s="4"/>
      <c r="N182" s="4"/>
      <c r="O182" s="4"/>
      <c r="P182" s="4"/>
      <c r="Q182" s="4"/>
    </row>
    <row r="183">
      <c r="A183" s="5">
        <v>182.0</v>
      </c>
      <c r="B183" s="5" t="s">
        <v>292</v>
      </c>
      <c r="C183" s="5" t="s">
        <v>109</v>
      </c>
      <c r="D183" s="6">
        <f>IFERROR(__xludf.DUMMYFUNCTION("SPLIT(MID(C183,2,LEN(C183)-2), "","")"),741.0)</f>
        <v>741</v>
      </c>
      <c r="E183" s="7"/>
      <c r="F183" s="7"/>
      <c r="G183" s="2" t="str">
        <f t="array" ref="G183">IF(ISBLANK(D183), "", INDEX(Categories!$B:$B,MATCH(D183,Categories!$A:$A,0)))</f>
        <v>Shoes</v>
      </c>
      <c r="H183" s="7" t="str">
        <f t="array" ref="H183">IF(ISBLANK(E183), "", INDEX(Categories!$B:$B,MATCH(E183,Categories!$A:$A,0)))</f>
        <v/>
      </c>
      <c r="I183" s="7" t="str">
        <f t="array" ref="I183">IF(ISBLANK(F183), "", INDEX(Categories!$B:$B,MATCH(F183,Categories!$A:$A,0)))</f>
        <v/>
      </c>
      <c r="J183" s="4"/>
      <c r="K183" s="4"/>
      <c r="L183" s="4"/>
      <c r="M183" s="4"/>
      <c r="N183" s="4"/>
      <c r="O183" s="4"/>
      <c r="P183" s="4"/>
      <c r="Q183" s="4"/>
    </row>
    <row r="184">
      <c r="A184" s="5">
        <v>183.0</v>
      </c>
      <c r="B184" s="5" t="s">
        <v>293</v>
      </c>
      <c r="C184" s="5" t="s">
        <v>266</v>
      </c>
      <c r="D184" s="6">
        <f>IFERROR(__xludf.DUMMYFUNCTION("SPLIT(MID(C184,2,LEN(C184)-2), "","")"),429.0)</f>
        <v>429</v>
      </c>
      <c r="E184" s="7"/>
      <c r="F184" s="7"/>
      <c r="G184" s="2" t="str">
        <f t="array" ref="G184">IF(ISBLANK(D184), "", INDEX(Categories!$B:$B,MATCH(D184,Categories!$A:$A,0)))</f>
        <v>Bookstores</v>
      </c>
      <c r="H184" s="7" t="str">
        <f t="array" ref="H184">IF(ISBLANK(E184), "", INDEX(Categories!$B:$B,MATCH(E184,Categories!$A:$A,0)))</f>
        <v/>
      </c>
      <c r="I184" s="7" t="str">
        <f t="array" ref="I184">IF(ISBLANK(F184), "", INDEX(Categories!$B:$B,MATCH(F184,Categories!$A:$A,0)))</f>
        <v/>
      </c>
      <c r="J184" s="4"/>
      <c r="K184" s="4"/>
      <c r="L184" s="4"/>
      <c r="M184" s="4"/>
      <c r="N184" s="4"/>
      <c r="O184" s="4"/>
      <c r="P184" s="4"/>
      <c r="Q184" s="4"/>
    </row>
    <row r="185">
      <c r="A185" s="5">
        <v>184.0</v>
      </c>
      <c r="B185" s="5" t="s">
        <v>294</v>
      </c>
      <c r="C185" s="5" t="s">
        <v>295</v>
      </c>
      <c r="D185" s="6">
        <f>IFERROR(__xludf.DUMMYFUNCTION("SPLIT(MID(C185,2,LEN(C185)-2), "","")"),2896.0)</f>
        <v>2896</v>
      </c>
      <c r="E185" s="7"/>
      <c r="F185" s="7"/>
      <c r="G185" s="2" t="str">
        <f t="array" ref="G185">IF(ISBLANK(D185), "", INDEX(Categories!$B:$B,MATCH(D185,Categories!$A:$A,0)))</f>
        <v>Variety Stores</v>
      </c>
      <c r="H185" s="7" t="str">
        <f t="array" ref="H185">IF(ISBLANK(E185), "", INDEX(Categories!$B:$B,MATCH(E185,Categories!$A:$A,0)))</f>
        <v/>
      </c>
      <c r="I185" s="7" t="str">
        <f t="array" ref="I185">IF(ISBLANK(F185), "", INDEX(Categories!$B:$B,MATCH(F185,Categories!$A:$A,0)))</f>
        <v/>
      </c>
      <c r="J185" s="4"/>
      <c r="K185" s="4"/>
      <c r="L185" s="4"/>
      <c r="M185" s="4"/>
      <c r="N185" s="4"/>
      <c r="O185" s="4"/>
      <c r="P185" s="4"/>
      <c r="Q185" s="4"/>
    </row>
    <row r="186">
      <c r="A186" s="5">
        <v>185.0</v>
      </c>
      <c r="B186" s="5" t="s">
        <v>296</v>
      </c>
      <c r="C186" s="5" t="s">
        <v>297</v>
      </c>
      <c r="D186" s="6">
        <f>IFERROR(__xludf.DUMMYFUNCTION("SPLIT(MID(C186,2,LEN(C186)-2), "","")"),839.0)</f>
        <v>839</v>
      </c>
      <c r="E186" s="7"/>
      <c r="F186" s="7"/>
      <c r="G186" s="2" t="str">
        <f t="array" ref="G186">IF(ISBLANK(D186), "", INDEX(Categories!$B:$B,MATCH(D186,Categories!$A:$A,0)))</f>
        <v>Youth Organizations</v>
      </c>
      <c r="H186" s="7" t="str">
        <f t="array" ref="H186">IF(ISBLANK(E186), "", INDEX(Categories!$B:$B,MATCH(E186,Categories!$A:$A,0)))</f>
        <v/>
      </c>
      <c r="I186" s="7" t="str">
        <f t="array" ref="I186">IF(ISBLANK(F186), "", INDEX(Categories!$B:$B,MATCH(F186,Categories!$A:$A,0)))</f>
        <v/>
      </c>
      <c r="J186" s="4"/>
      <c r="K186" s="4"/>
      <c r="L186" s="4"/>
      <c r="M186" s="4"/>
      <c r="N186" s="4"/>
      <c r="O186" s="4"/>
      <c r="P186" s="4"/>
      <c r="Q186" s="4"/>
    </row>
    <row r="187">
      <c r="A187" s="5">
        <v>186.0</v>
      </c>
      <c r="B187" s="5" t="s">
        <v>298</v>
      </c>
      <c r="C187" s="5" t="s">
        <v>41</v>
      </c>
      <c r="D187" s="6">
        <f>IFERROR(__xludf.DUMMYFUNCTION("SPLIT(MID(C187,2,LEN(C187)-2), "","")"),93.0)</f>
        <v>93</v>
      </c>
      <c r="E187" s="7"/>
      <c r="F187" s="7"/>
      <c r="G187" s="2" t="str">
        <f t="array" ref="G187">IF(ISBLANK(D187), "", INDEX(Categories!$B:$B,MATCH(D187,Categories!$A:$A,0)))</f>
        <v>Automobile - Rentals</v>
      </c>
      <c r="H187" s="7" t="str">
        <f t="array" ref="H187">IF(ISBLANK(E187), "", INDEX(Categories!$B:$B,MATCH(E187,Categories!$A:$A,0)))</f>
        <v/>
      </c>
      <c r="I187" s="7" t="str">
        <f t="array" ref="I187">IF(ISBLANK(F187), "", INDEX(Categories!$B:$B,MATCH(F187,Categories!$A:$A,0)))</f>
        <v/>
      </c>
      <c r="J187" s="4"/>
      <c r="K187" s="4"/>
      <c r="L187" s="4"/>
      <c r="M187" s="4"/>
      <c r="N187" s="4"/>
      <c r="O187" s="4"/>
      <c r="P187" s="4"/>
      <c r="Q187" s="4"/>
    </row>
    <row r="188">
      <c r="A188" s="5">
        <v>187.0</v>
      </c>
      <c r="B188" s="5" t="s">
        <v>299</v>
      </c>
      <c r="C188" s="5" t="s">
        <v>300</v>
      </c>
      <c r="D188" s="6">
        <f>IFERROR(__xludf.DUMMYFUNCTION("SPLIT(MID(C188,2,LEN(C188)-2), "","")"),1105.0)</f>
        <v>1105</v>
      </c>
      <c r="E188" s="7"/>
      <c r="F188" s="7"/>
      <c r="G188" s="2" t="str">
        <f t="array" ref="G188">IF(ISBLANK(D188), "", INDEX(Categories!$B:$B,MATCH(D188,Categories!$A:$A,0)))</f>
        <v>Travel &amp; Tourism</v>
      </c>
      <c r="H188" s="7" t="str">
        <f t="array" ref="H188">IF(ISBLANK(E188), "", INDEX(Categories!$B:$B,MATCH(E188,Categories!$A:$A,0)))</f>
        <v/>
      </c>
      <c r="I188" s="7" t="str">
        <f t="array" ref="I188">IF(ISBLANK(F188), "", INDEX(Categories!$B:$B,MATCH(F188,Categories!$A:$A,0)))</f>
        <v/>
      </c>
      <c r="J188" s="4"/>
      <c r="K188" s="4"/>
      <c r="L188" s="4"/>
      <c r="M188" s="4"/>
      <c r="N188" s="4"/>
      <c r="O188" s="4"/>
      <c r="P188" s="4"/>
      <c r="Q188" s="4"/>
    </row>
    <row r="189">
      <c r="A189" s="5">
        <v>188.0</v>
      </c>
      <c r="B189" s="5" t="s">
        <v>301</v>
      </c>
      <c r="C189" s="5" t="s">
        <v>16</v>
      </c>
      <c r="D189" s="6">
        <f>IFERROR(__xludf.DUMMYFUNCTION("SPLIT(MID(C189,2,LEN(C189)-2), "","")"),51.0)</f>
        <v>51</v>
      </c>
      <c r="E189" s="7"/>
      <c r="F189" s="7"/>
      <c r="G189" s="2" t="str">
        <f t="array" ref="G189">IF(ISBLANK(D189), "", INDEX(Categories!$B:$B,MATCH(D189,Categories!$A:$A,0)))</f>
        <v>Automobile Parts &amp; Supplies</v>
      </c>
      <c r="H189" s="7" t="str">
        <f t="array" ref="H189">IF(ISBLANK(E189), "", INDEX(Categories!$B:$B,MATCH(E189,Categories!$A:$A,0)))</f>
        <v/>
      </c>
      <c r="I189" s="7" t="str">
        <f t="array" ref="I189">IF(ISBLANK(F189), "", INDEX(Categories!$B:$B,MATCH(F189,Categories!$A:$A,0)))</f>
        <v/>
      </c>
      <c r="J189" s="4"/>
      <c r="K189" s="4"/>
      <c r="L189" s="4"/>
      <c r="M189" s="4"/>
      <c r="N189" s="4"/>
      <c r="O189" s="4"/>
      <c r="P189" s="4"/>
      <c r="Q189" s="4"/>
    </row>
    <row r="190">
      <c r="A190" s="5">
        <v>189.0</v>
      </c>
      <c r="B190" s="5" t="s">
        <v>302</v>
      </c>
      <c r="C190" s="5" t="s">
        <v>303</v>
      </c>
      <c r="D190" s="6">
        <f>IFERROR(__xludf.DUMMYFUNCTION("SPLIT(MID(C190,2,LEN(C190)-2), "","")"),1241.0)</f>
        <v>1241</v>
      </c>
      <c r="E190" s="7"/>
      <c r="F190" s="7"/>
      <c r="G190" s="2" t="str">
        <f t="array" ref="G190">IF(ISBLANK(D190), "", INDEX(Categories!$B:$B,MATCH(D190,Categories!$A:$A,0)))</f>
        <v>Clothing &amp; Accessories</v>
      </c>
      <c r="H190" s="7" t="str">
        <f t="array" ref="H190">IF(ISBLANK(E190), "", INDEX(Categories!$B:$B,MATCH(E190,Categories!$A:$A,0)))</f>
        <v/>
      </c>
      <c r="I190" s="7" t="str">
        <f t="array" ref="I190">IF(ISBLANK(F190), "", INDEX(Categories!$B:$B,MATCH(F190,Categories!$A:$A,0)))</f>
        <v/>
      </c>
      <c r="J190" s="4"/>
      <c r="K190" s="4"/>
      <c r="L190" s="4"/>
      <c r="M190" s="4"/>
      <c r="N190" s="4"/>
      <c r="O190" s="4"/>
      <c r="P190" s="4"/>
      <c r="Q190" s="4"/>
    </row>
    <row r="191">
      <c r="A191" s="5">
        <v>190.0</v>
      </c>
      <c r="B191" s="5" t="s">
        <v>304</v>
      </c>
      <c r="C191" s="5" t="s">
        <v>200</v>
      </c>
      <c r="D191" s="6">
        <f>IFERROR(__xludf.DUMMYFUNCTION("SPLIT(MID(C191,2,LEN(C191)-2), "","")"),316.0)</f>
        <v>316</v>
      </c>
      <c r="E191" s="7"/>
      <c r="F191" s="7"/>
      <c r="G191" s="2" t="str">
        <f t="array" ref="G191">IF(ISBLANK(D191), "", INDEX(Categories!$B:$B,MATCH(D191,Categories!$A:$A,0)))</f>
        <v>Sporting Goods</v>
      </c>
      <c r="H191" s="7" t="str">
        <f t="array" ref="H191">IF(ISBLANK(E191), "", INDEX(Categories!$B:$B,MATCH(E191,Categories!$A:$A,0)))</f>
        <v/>
      </c>
      <c r="I191" s="7" t="str">
        <f t="array" ref="I191">IF(ISBLANK(F191), "", INDEX(Categories!$B:$B,MATCH(F191,Categories!$A:$A,0)))</f>
        <v/>
      </c>
      <c r="J191" s="4"/>
      <c r="K191" s="4"/>
      <c r="L191" s="4"/>
      <c r="M191" s="4"/>
      <c r="N191" s="4"/>
      <c r="O191" s="4"/>
      <c r="P191" s="4"/>
      <c r="Q191" s="4"/>
    </row>
    <row r="192">
      <c r="A192" s="5">
        <v>191.0</v>
      </c>
      <c r="B192" s="5" t="s">
        <v>305</v>
      </c>
      <c r="C192" s="5" t="s">
        <v>34</v>
      </c>
      <c r="D192" s="6">
        <f>IFERROR(__xludf.DUMMYFUNCTION("SPLIT(MID(C192,2,LEN(C192)-2), "","")"),228.0)</f>
        <v>228</v>
      </c>
      <c r="E192" s="7"/>
      <c r="F192" s="7"/>
      <c r="G192" s="2" t="str">
        <f t="array" ref="G192">IF(ISBLANK(D192), "", INDEX(Categories!$B:$B,MATCH(D192,Categories!$A:$A,0)))</f>
        <v>Restaurants</v>
      </c>
      <c r="H192" s="7" t="str">
        <f t="array" ref="H192">IF(ISBLANK(E192), "", INDEX(Categories!$B:$B,MATCH(E192,Categories!$A:$A,0)))</f>
        <v/>
      </c>
      <c r="I192" s="7" t="str">
        <f t="array" ref="I192">IF(ISBLANK(F192), "", INDEX(Categories!$B:$B,MATCH(F192,Categories!$A:$A,0)))</f>
        <v/>
      </c>
      <c r="J192" s="4"/>
      <c r="K192" s="4"/>
      <c r="L192" s="4"/>
      <c r="M192" s="4"/>
      <c r="N192" s="4"/>
      <c r="O192" s="4"/>
      <c r="P192" s="4"/>
      <c r="Q192" s="4"/>
    </row>
    <row r="193">
      <c r="A193" s="5">
        <v>192.0</v>
      </c>
      <c r="B193" s="5" t="s">
        <v>306</v>
      </c>
      <c r="C193" s="5" t="s">
        <v>307</v>
      </c>
      <c r="D193" s="6">
        <f>IFERROR(__xludf.DUMMYFUNCTION("SPLIT(MID(C193,2,LEN(C193)-2), "","")"),241.0)</f>
        <v>241</v>
      </c>
      <c r="E193" s="7"/>
      <c r="F193" s="7"/>
      <c r="G193" s="2" t="str">
        <f t="array" ref="G193">IF(ISBLANK(D193), "", INDEX(Categories!$B:$B,MATCH(D193,Categories!$A:$A,0)))</f>
        <v>Restaurants Mexican</v>
      </c>
      <c r="H193" s="7" t="str">
        <f t="array" ref="H193">IF(ISBLANK(E193), "", INDEX(Categories!$B:$B,MATCH(E193,Categories!$A:$A,0)))</f>
        <v/>
      </c>
      <c r="I193" s="7" t="str">
        <f t="array" ref="I193">IF(ISBLANK(F193), "", INDEX(Categories!$B:$B,MATCH(F193,Categories!$A:$A,0)))</f>
        <v/>
      </c>
      <c r="J193" s="4"/>
      <c r="K193" s="4"/>
      <c r="L193" s="4"/>
      <c r="M193" s="4"/>
      <c r="N193" s="4"/>
      <c r="O193" s="4"/>
      <c r="P193" s="4"/>
      <c r="Q193" s="4"/>
    </row>
    <row r="194">
      <c r="A194" s="5">
        <v>193.0</v>
      </c>
      <c r="B194" s="5" t="s">
        <v>308</v>
      </c>
      <c r="C194" s="5" t="s">
        <v>309</v>
      </c>
      <c r="D194" s="6">
        <f>IFERROR(__xludf.DUMMYFUNCTION("SPLIT(MID(C194,2,LEN(C194)-2), "","")"),458.0)</f>
        <v>458</v>
      </c>
      <c r="E194" s="7"/>
      <c r="F194" s="7"/>
      <c r="G194" s="2" t="str">
        <f t="array" ref="G194">IF(ISBLANK(D194), "", INDEX(Categories!$B:$B,MATCH(D194,Categories!$A:$A,0)))</f>
        <v>Real Estate - Brokers &amp; Agents</v>
      </c>
      <c r="H194" s="7" t="str">
        <f t="array" ref="H194">IF(ISBLANK(E194), "", INDEX(Categories!$B:$B,MATCH(E194,Categories!$A:$A,0)))</f>
        <v/>
      </c>
      <c r="I194" s="7" t="str">
        <f t="array" ref="I194">IF(ISBLANK(F194), "", INDEX(Categories!$B:$B,MATCH(F194,Categories!$A:$A,0)))</f>
        <v/>
      </c>
      <c r="J194" s="4"/>
      <c r="K194" s="4"/>
      <c r="L194" s="4"/>
      <c r="M194" s="4"/>
      <c r="N194" s="4"/>
      <c r="O194" s="4"/>
      <c r="P194" s="4"/>
      <c r="Q194" s="4"/>
    </row>
    <row r="195">
      <c r="A195" s="5">
        <v>194.0</v>
      </c>
      <c r="B195" s="5" t="s">
        <v>310</v>
      </c>
      <c r="C195" s="5" t="s">
        <v>111</v>
      </c>
      <c r="D195" s="6">
        <f>IFERROR(__xludf.DUMMYFUNCTION("SPLIT(MID(C195,2,LEN(C195)-2), "","")"),444.0)</f>
        <v>444</v>
      </c>
      <c r="E195" s="7"/>
      <c r="F195" s="7"/>
      <c r="G195" s="2" t="str">
        <f t="array" ref="G195">IF(ISBLANK(D195), "", INDEX(Categories!$B:$B,MATCH(D195,Categories!$A:$A,0)))</f>
        <v>Hair Salons &amp; Barbers</v>
      </c>
      <c r="H195" s="7" t="str">
        <f t="array" ref="H195">IF(ISBLANK(E195), "", INDEX(Categories!$B:$B,MATCH(E195,Categories!$A:$A,0)))</f>
        <v/>
      </c>
      <c r="I195" s="7" t="str">
        <f t="array" ref="I195">IF(ISBLANK(F195), "", INDEX(Categories!$B:$B,MATCH(F195,Categories!$A:$A,0)))</f>
        <v/>
      </c>
      <c r="J195" s="4"/>
      <c r="K195" s="4"/>
      <c r="L195" s="4"/>
      <c r="M195" s="4"/>
      <c r="N195" s="4"/>
      <c r="O195" s="4"/>
      <c r="P195" s="4"/>
      <c r="Q195" s="4"/>
    </row>
    <row r="196">
      <c r="A196" s="5">
        <v>195.0</v>
      </c>
      <c r="B196" s="5" t="s">
        <v>311</v>
      </c>
      <c r="C196" s="5" t="s">
        <v>34</v>
      </c>
      <c r="D196" s="6">
        <f>IFERROR(__xludf.DUMMYFUNCTION("SPLIT(MID(C196,2,LEN(C196)-2), "","")"),228.0)</f>
        <v>228</v>
      </c>
      <c r="E196" s="7"/>
      <c r="F196" s="7"/>
      <c r="G196" s="2" t="str">
        <f t="array" ref="G196">IF(ISBLANK(D196), "", INDEX(Categories!$B:$B,MATCH(D196,Categories!$A:$A,0)))</f>
        <v>Restaurants</v>
      </c>
      <c r="H196" s="7" t="str">
        <f t="array" ref="H196">IF(ISBLANK(E196), "", INDEX(Categories!$B:$B,MATCH(E196,Categories!$A:$A,0)))</f>
        <v/>
      </c>
      <c r="I196" s="7" t="str">
        <f t="array" ref="I196">IF(ISBLANK(F196), "", INDEX(Categories!$B:$B,MATCH(F196,Categories!$A:$A,0)))</f>
        <v/>
      </c>
      <c r="J196" s="4"/>
      <c r="K196" s="4"/>
      <c r="L196" s="4"/>
      <c r="M196" s="4"/>
      <c r="N196" s="4"/>
      <c r="O196" s="4"/>
      <c r="P196" s="4"/>
      <c r="Q196" s="4"/>
    </row>
    <row r="197">
      <c r="A197" s="5">
        <v>196.0</v>
      </c>
      <c r="B197" s="5" t="s">
        <v>312</v>
      </c>
      <c r="C197" s="5" t="s">
        <v>170</v>
      </c>
      <c r="D197" s="6">
        <f>IFERROR(__xludf.DUMMYFUNCTION("SPLIT(MID(C197,2,LEN(C197)-2), "","")"),189.0)</f>
        <v>189</v>
      </c>
      <c r="E197" s="7"/>
      <c r="F197" s="7"/>
      <c r="G197" s="2" t="str">
        <f t="array" ref="G197">IF(ISBLANK(D197), "", INDEX(Categories!$B:$B,MATCH(D197,Categories!$A:$A,0)))</f>
        <v>Pharmacies</v>
      </c>
      <c r="H197" s="7" t="str">
        <f t="array" ref="H197">IF(ISBLANK(E197), "", INDEX(Categories!$B:$B,MATCH(E197,Categories!$A:$A,0)))</f>
        <v/>
      </c>
      <c r="I197" s="7" t="str">
        <f t="array" ref="I197">IF(ISBLANK(F197), "", INDEX(Categories!$B:$B,MATCH(F197,Categories!$A:$A,0)))</f>
        <v/>
      </c>
      <c r="J197" s="4"/>
      <c r="K197" s="4"/>
      <c r="L197" s="4"/>
      <c r="M197" s="4"/>
      <c r="N197" s="4"/>
      <c r="O197" s="4"/>
      <c r="P197" s="4"/>
      <c r="Q197" s="4"/>
    </row>
    <row r="198">
      <c r="A198" s="5">
        <v>197.0</v>
      </c>
      <c r="B198" s="5" t="s">
        <v>313</v>
      </c>
      <c r="C198" s="5" t="s">
        <v>102</v>
      </c>
      <c r="D198" s="6">
        <f>IFERROR(__xludf.DUMMYFUNCTION("SPLIT(MID(C198,2,LEN(C198)-2), "","")"),298.0)</f>
        <v>298</v>
      </c>
      <c r="E198" s="7"/>
      <c r="F198" s="7"/>
      <c r="G198" s="2" t="str">
        <f t="array" ref="G198">IF(ISBLANK(D198), "", INDEX(Categories!$B:$B,MATCH(D198,Categories!$A:$A,0)))</f>
        <v>Financial Services</v>
      </c>
      <c r="H198" s="7" t="str">
        <f t="array" ref="H198">IF(ISBLANK(E198), "", INDEX(Categories!$B:$B,MATCH(E198,Categories!$A:$A,0)))</f>
        <v/>
      </c>
      <c r="I198" s="7" t="str">
        <f t="array" ref="I198">IF(ISBLANK(F198), "", INDEX(Categories!$B:$B,MATCH(F198,Categories!$A:$A,0)))</f>
        <v/>
      </c>
      <c r="J198" s="4"/>
      <c r="K198" s="4"/>
      <c r="L198" s="4"/>
      <c r="M198" s="4"/>
      <c r="N198" s="4"/>
      <c r="O198" s="4"/>
      <c r="P198" s="4"/>
      <c r="Q198" s="4"/>
    </row>
    <row r="199">
      <c r="A199" s="5">
        <v>198.0</v>
      </c>
      <c r="B199" s="5" t="s">
        <v>314</v>
      </c>
      <c r="C199" s="5" t="s">
        <v>315</v>
      </c>
      <c r="D199" s="6">
        <f>IFERROR(__xludf.DUMMYFUNCTION("SPLIT(MID(C199,2,LEN(C199)-2), "","")"),2573.0)</f>
        <v>2573</v>
      </c>
      <c r="E199" s="7"/>
      <c r="F199" s="7"/>
      <c r="G199" s="2" t="str">
        <f t="array" ref="G199">IF(ISBLANK(D199), "", INDEX(Categories!$B:$B,MATCH(D199,Categories!$A:$A,0)))</f>
        <v>Interior Decorators &amp; Designers</v>
      </c>
      <c r="H199" s="7" t="str">
        <f t="array" ref="H199">IF(ISBLANK(E199), "", INDEX(Categories!$B:$B,MATCH(E199,Categories!$A:$A,0)))</f>
        <v/>
      </c>
      <c r="I199" s="7" t="str">
        <f t="array" ref="I199">IF(ISBLANK(F199), "", INDEX(Categories!$B:$B,MATCH(F199,Categories!$A:$A,0)))</f>
        <v/>
      </c>
      <c r="J199" s="4"/>
      <c r="K199" s="4"/>
      <c r="L199" s="4"/>
      <c r="M199" s="4"/>
      <c r="N199" s="4"/>
      <c r="O199" s="4"/>
      <c r="P199" s="4"/>
      <c r="Q199" s="4"/>
    </row>
    <row r="200">
      <c r="A200" s="5">
        <v>199.0</v>
      </c>
      <c r="B200" s="5" t="s">
        <v>316</v>
      </c>
      <c r="C200" s="5" t="s">
        <v>58</v>
      </c>
      <c r="D200" s="6">
        <f>IFERROR(__xludf.DUMMYFUNCTION("SPLIT(MID(C200,2,LEN(C200)-2), "","")"),1170.0)</f>
        <v>1170</v>
      </c>
      <c r="E200" s="7"/>
      <c r="F200" s="7"/>
      <c r="G200" s="2" t="str">
        <f t="array" ref="G200">IF(ISBLANK(D200), "", INDEX(Categories!$B:$B,MATCH(D200,Categories!$A:$A,0)))</f>
        <v>Gasoline Retail</v>
      </c>
      <c r="H200" s="7" t="str">
        <f t="array" ref="H200">IF(ISBLANK(E200), "", INDEX(Categories!$B:$B,MATCH(E200,Categories!$A:$A,0)))</f>
        <v/>
      </c>
      <c r="I200" s="7" t="str">
        <f t="array" ref="I200">IF(ISBLANK(F200), "", INDEX(Categories!$B:$B,MATCH(F200,Categories!$A:$A,0)))</f>
        <v/>
      </c>
      <c r="J200" s="4"/>
      <c r="K200" s="4"/>
      <c r="L200" s="4"/>
      <c r="M200" s="4"/>
      <c r="N200" s="4"/>
      <c r="O200" s="4"/>
      <c r="P200" s="4"/>
      <c r="Q200" s="4"/>
    </row>
    <row r="201">
      <c r="A201" s="5">
        <v>200.0</v>
      </c>
      <c r="B201" s="5" t="s">
        <v>317</v>
      </c>
      <c r="C201" s="5" t="s">
        <v>26</v>
      </c>
      <c r="D201" s="6">
        <f>IFERROR(__xludf.DUMMYFUNCTION("SPLIT(MID(C201,2,LEN(C201)-2), "","")"),2479.0)</f>
        <v>2479</v>
      </c>
      <c r="E201" s="7"/>
      <c r="F201" s="7"/>
      <c r="G201" s="2" t="str">
        <f t="array" ref="G201">IF(ISBLANK(D201), "", INDEX(Categories!$B:$B,MATCH(D201,Categories!$A:$A,0)))</f>
        <v>Organizations &amp; Associations</v>
      </c>
      <c r="H201" s="7" t="str">
        <f t="array" ref="H201">IF(ISBLANK(E201), "", INDEX(Categories!$B:$B,MATCH(E201,Categories!$A:$A,0)))</f>
        <v/>
      </c>
      <c r="I201" s="7" t="str">
        <f t="array" ref="I201">IF(ISBLANK(F201), "", INDEX(Categories!$B:$B,MATCH(F201,Categories!$A:$A,0)))</f>
        <v/>
      </c>
      <c r="J201" s="4"/>
      <c r="K201" s="4"/>
      <c r="L201" s="4"/>
      <c r="M201" s="4"/>
      <c r="N201" s="4"/>
      <c r="O201" s="4"/>
      <c r="P201" s="4"/>
      <c r="Q201" s="4"/>
    </row>
    <row r="202">
      <c r="A202" s="5">
        <v>201.0</v>
      </c>
      <c r="B202" s="5" t="s">
        <v>318</v>
      </c>
      <c r="C202" s="5" t="s">
        <v>107</v>
      </c>
      <c r="D202" s="6">
        <f>IFERROR(__xludf.DUMMYFUNCTION("SPLIT(MID(C202,2,LEN(C202)-2), "","")"),760.0)</f>
        <v>760</v>
      </c>
      <c r="E202" s="7"/>
      <c r="F202" s="7"/>
      <c r="G202" s="2" t="str">
        <f t="array" ref="G202">IF(ISBLANK(D202), "", INDEX(Categories!$B:$B,MATCH(D202,Categories!$A:$A,0)))</f>
        <v>Discount Stores</v>
      </c>
      <c r="H202" s="7" t="str">
        <f t="array" ref="H202">IF(ISBLANK(E202), "", INDEX(Categories!$B:$B,MATCH(E202,Categories!$A:$A,0)))</f>
        <v/>
      </c>
      <c r="I202" s="7" t="str">
        <f t="array" ref="I202">IF(ISBLANK(F202), "", INDEX(Categories!$B:$B,MATCH(F202,Categories!$A:$A,0)))</f>
        <v/>
      </c>
      <c r="J202" s="4"/>
      <c r="K202" s="4"/>
      <c r="L202" s="4"/>
      <c r="M202" s="4"/>
      <c r="N202" s="4"/>
      <c r="O202" s="4"/>
      <c r="P202" s="4"/>
      <c r="Q202" s="4"/>
    </row>
    <row r="203">
      <c r="A203" s="5">
        <v>202.0</v>
      </c>
      <c r="B203" s="5" t="s">
        <v>319</v>
      </c>
      <c r="C203" s="5" t="s">
        <v>320</v>
      </c>
      <c r="D203" s="6">
        <f>IFERROR(__xludf.DUMMYFUNCTION("SPLIT(MID(C203,2,LEN(C203)-2), "","")"),1421.0)</f>
        <v>1421</v>
      </c>
      <c r="E203" s="7"/>
      <c r="F203" s="7"/>
      <c r="G203" s="2" t="str">
        <f t="array" ref="G203">IF(ISBLANK(D203), "", INDEX(Categories!$B:$B,MATCH(D203,Categories!$A:$A,0)))</f>
        <v>Video Production &amp; Duplication</v>
      </c>
      <c r="H203" s="7" t="str">
        <f t="array" ref="H203">IF(ISBLANK(E203), "", INDEX(Categories!$B:$B,MATCH(E203,Categories!$A:$A,0)))</f>
        <v/>
      </c>
      <c r="I203" s="7" t="str">
        <f t="array" ref="I203">IF(ISBLANK(F203), "", INDEX(Categories!$B:$B,MATCH(F203,Categories!$A:$A,0)))</f>
        <v/>
      </c>
      <c r="J203" s="4"/>
      <c r="K203" s="4"/>
      <c r="L203" s="4"/>
      <c r="M203" s="4"/>
      <c r="N203" s="4"/>
      <c r="O203" s="4"/>
      <c r="P203" s="4"/>
      <c r="Q203" s="4"/>
    </row>
    <row r="204">
      <c r="A204" s="5">
        <v>203.0</v>
      </c>
      <c r="B204" s="5" t="s">
        <v>321</v>
      </c>
      <c r="C204" s="5" t="s">
        <v>322</v>
      </c>
      <c r="D204" s="6">
        <f>IFERROR(__xludf.DUMMYFUNCTION("SPLIT(MID(C204,2,LEN(C204)-2), "","")"),561.0)</f>
        <v>561</v>
      </c>
      <c r="E204" s="7"/>
      <c r="F204" s="7"/>
      <c r="G204" s="2" t="str">
        <f t="array" ref="G204">IF(ISBLANK(D204), "", INDEX(Categories!$B:$B,MATCH(D204,Categories!$A:$A,0)))</f>
        <v>Employment Placement Services</v>
      </c>
      <c r="H204" s="7" t="str">
        <f t="array" ref="H204">IF(ISBLANK(E204), "", INDEX(Categories!$B:$B,MATCH(E204,Categories!$A:$A,0)))</f>
        <v/>
      </c>
      <c r="I204" s="7" t="str">
        <f t="array" ref="I204">IF(ISBLANK(F204), "", INDEX(Categories!$B:$B,MATCH(F204,Categories!$A:$A,0)))</f>
        <v/>
      </c>
      <c r="J204" s="4"/>
      <c r="K204" s="4"/>
      <c r="L204" s="4"/>
      <c r="M204" s="4"/>
      <c r="N204" s="4"/>
      <c r="O204" s="4"/>
      <c r="P204" s="4"/>
      <c r="Q204" s="4"/>
    </row>
    <row r="205">
      <c r="A205" s="5">
        <v>204.0</v>
      </c>
      <c r="B205" s="5" t="s">
        <v>323</v>
      </c>
      <c r="C205" s="5" t="s">
        <v>324</v>
      </c>
      <c r="D205" s="6">
        <f>IFERROR(__xludf.DUMMYFUNCTION("SPLIT(MID(C205,2,LEN(C205)-2), "","")"),290.0)</f>
        <v>290</v>
      </c>
      <c r="E205" s="7"/>
      <c r="F205" s="7"/>
      <c r="G205" s="2" t="str">
        <f t="array" ref="G205">IF(ISBLANK(D205), "", INDEX(Categories!$B:$B,MATCH(D205,Categories!$A:$A,0)))</f>
        <v>Banks &amp; Credit Unions</v>
      </c>
      <c r="H205" s="7" t="str">
        <f t="array" ref="H205">IF(ISBLANK(E205), "", INDEX(Categories!$B:$B,MATCH(E205,Categories!$A:$A,0)))</f>
        <v/>
      </c>
      <c r="I205" s="7" t="str">
        <f t="array" ref="I205">IF(ISBLANK(F205), "", INDEX(Categories!$B:$B,MATCH(F205,Categories!$A:$A,0)))</f>
        <v/>
      </c>
      <c r="J205" s="4"/>
      <c r="K205" s="4"/>
      <c r="L205" s="4"/>
      <c r="M205" s="4"/>
      <c r="N205" s="4"/>
      <c r="O205" s="4"/>
      <c r="P205" s="4"/>
      <c r="Q205" s="4"/>
    </row>
    <row r="206">
      <c r="A206" s="5">
        <v>205.0</v>
      </c>
      <c r="B206" s="5" t="s">
        <v>325</v>
      </c>
      <c r="C206" s="5" t="s">
        <v>278</v>
      </c>
      <c r="D206" s="6">
        <f>IFERROR(__xludf.DUMMYFUNCTION("SPLIT(MID(C206,2,LEN(C206)-2), "","")"),2766.0)</f>
        <v>2766</v>
      </c>
      <c r="E206" s="7"/>
      <c r="F206" s="7"/>
      <c r="G206" s="2" t="str">
        <f t="array" ref="G206">IF(ISBLANK(D206), "", INDEX(Categories!$B:$B,MATCH(D206,Categories!$A:$A,0)))</f>
        <v>Construction Supplies &amp; Services</v>
      </c>
      <c r="H206" s="7" t="str">
        <f t="array" ref="H206">IF(ISBLANK(E206), "", INDEX(Categories!$B:$B,MATCH(E206,Categories!$A:$A,0)))</f>
        <v/>
      </c>
      <c r="I206" s="7" t="str">
        <f t="array" ref="I206">IF(ISBLANK(F206), "", INDEX(Categories!$B:$B,MATCH(F206,Categories!$A:$A,0)))</f>
        <v/>
      </c>
      <c r="J206" s="4"/>
      <c r="K206" s="4"/>
      <c r="L206" s="4"/>
      <c r="M206" s="4"/>
      <c r="N206" s="4"/>
      <c r="O206" s="4"/>
      <c r="P206" s="4"/>
      <c r="Q206" s="4"/>
    </row>
    <row r="207">
      <c r="A207" s="5">
        <v>206.0</v>
      </c>
      <c r="B207" s="5" t="s">
        <v>326</v>
      </c>
      <c r="C207" s="5" t="s">
        <v>128</v>
      </c>
      <c r="D207" s="6">
        <f>IFERROR(__xludf.DUMMYFUNCTION("SPLIT(MID(C207,2,LEN(C207)-2), "","")"),110.0)</f>
        <v>110</v>
      </c>
      <c r="E207" s="7"/>
      <c r="F207" s="7"/>
      <c r="G207" s="2" t="str">
        <f t="array" ref="G207">IF(ISBLANK(D207), "", INDEX(Categories!$B:$B,MATCH(D207,Categories!$A:$A,0)))</f>
        <v>Automobile - Tires</v>
      </c>
      <c r="H207" s="7" t="str">
        <f t="array" ref="H207">IF(ISBLANK(E207), "", INDEX(Categories!$B:$B,MATCH(E207,Categories!$A:$A,0)))</f>
        <v/>
      </c>
      <c r="I207" s="7" t="str">
        <f t="array" ref="I207">IF(ISBLANK(F207), "", INDEX(Categories!$B:$B,MATCH(F207,Categories!$A:$A,0)))</f>
        <v/>
      </c>
      <c r="J207" s="4"/>
      <c r="K207" s="4"/>
      <c r="L207" s="4"/>
      <c r="M207" s="4"/>
      <c r="N207" s="4"/>
      <c r="O207" s="4"/>
      <c r="P207" s="4"/>
      <c r="Q207" s="4"/>
    </row>
    <row r="208">
      <c r="A208" s="5">
        <v>207.0</v>
      </c>
      <c r="B208" s="5" t="s">
        <v>327</v>
      </c>
      <c r="C208" s="5" t="s">
        <v>328</v>
      </c>
      <c r="D208" s="6">
        <f>IFERROR(__xludf.DUMMYFUNCTION("SPLIT(MID(C208,2,LEN(C208)-2), "","")"),31.0)</f>
        <v>31</v>
      </c>
      <c r="E208" s="7"/>
      <c r="F208" s="7"/>
      <c r="G208" s="2" t="str">
        <f t="array" ref="G208">IF(ISBLANK(D208), "", INDEX(Categories!$B:$B,MATCH(D208,Categories!$A:$A,0)))</f>
        <v>Furniture Repairing &amp; Refinishing</v>
      </c>
      <c r="H208" s="7" t="str">
        <f t="array" ref="H208">IF(ISBLANK(E208), "", INDEX(Categories!$B:$B,MATCH(E208,Categories!$A:$A,0)))</f>
        <v/>
      </c>
      <c r="I208" s="7" t="str">
        <f t="array" ref="I208">IF(ISBLANK(F208), "", INDEX(Categories!$B:$B,MATCH(F208,Categories!$A:$A,0)))</f>
        <v/>
      </c>
      <c r="J208" s="4"/>
      <c r="K208" s="4"/>
      <c r="L208" s="4"/>
      <c r="M208" s="4"/>
      <c r="N208" s="4"/>
      <c r="O208" s="4"/>
      <c r="P208" s="4"/>
      <c r="Q208" s="4"/>
    </row>
    <row r="209">
      <c r="A209" s="5">
        <v>208.0</v>
      </c>
      <c r="B209" s="5" t="s">
        <v>329</v>
      </c>
      <c r="C209" s="5" t="s">
        <v>62</v>
      </c>
      <c r="D209" s="6">
        <f>IFERROR(__xludf.DUMMYFUNCTION("SPLIT(MID(C209,2,LEN(C209)-2), "","")"),242.0)</f>
        <v>242</v>
      </c>
      <c r="E209" s="7"/>
      <c r="F209" s="7"/>
      <c r="G209" s="2" t="str">
        <f t="array" ref="G209">IF(ISBLANK(D209), "", INDEX(Categories!$B:$B,MATCH(D209,Categories!$A:$A,0)))</f>
        <v>Restaurants Pizza</v>
      </c>
      <c r="H209" s="7" t="str">
        <f t="array" ref="H209">IF(ISBLANK(E209), "", INDEX(Categories!$B:$B,MATCH(E209,Categories!$A:$A,0)))</f>
        <v/>
      </c>
      <c r="I209" s="7" t="str">
        <f t="array" ref="I209">IF(ISBLANK(F209), "", INDEX(Categories!$B:$B,MATCH(F209,Categories!$A:$A,0)))</f>
        <v/>
      </c>
      <c r="J209" s="4"/>
      <c r="K209" s="4"/>
      <c r="L209" s="4"/>
      <c r="M209" s="4"/>
      <c r="N209" s="4"/>
      <c r="O209" s="4"/>
      <c r="P209" s="4"/>
      <c r="Q209" s="4"/>
    </row>
    <row r="210">
      <c r="A210" s="5">
        <v>209.0</v>
      </c>
      <c r="B210" s="5" t="s">
        <v>330</v>
      </c>
      <c r="C210" s="5" t="s">
        <v>34</v>
      </c>
      <c r="D210" s="6">
        <f>IFERROR(__xludf.DUMMYFUNCTION("SPLIT(MID(C210,2,LEN(C210)-2), "","")"),228.0)</f>
        <v>228</v>
      </c>
      <c r="E210" s="7"/>
      <c r="F210" s="7"/>
      <c r="G210" s="2" t="str">
        <f t="array" ref="G210">IF(ISBLANK(D210), "", INDEX(Categories!$B:$B,MATCH(D210,Categories!$A:$A,0)))</f>
        <v>Restaurants</v>
      </c>
      <c r="H210" s="7" t="str">
        <f t="array" ref="H210">IF(ISBLANK(E210), "", INDEX(Categories!$B:$B,MATCH(E210,Categories!$A:$A,0)))</f>
        <v/>
      </c>
      <c r="I210" s="7" t="str">
        <f t="array" ref="I210">IF(ISBLANK(F210), "", INDEX(Categories!$B:$B,MATCH(F210,Categories!$A:$A,0)))</f>
        <v/>
      </c>
      <c r="J210" s="4"/>
      <c r="K210" s="4"/>
      <c r="L210" s="4"/>
      <c r="M210" s="4"/>
      <c r="N210" s="4"/>
      <c r="O210" s="4"/>
      <c r="P210" s="4"/>
      <c r="Q210" s="4"/>
    </row>
    <row r="211">
      <c r="A211" s="5">
        <v>210.0</v>
      </c>
      <c r="B211" s="5" t="s">
        <v>331</v>
      </c>
      <c r="C211" s="5" t="s">
        <v>332</v>
      </c>
      <c r="D211" s="6">
        <f>IFERROR(__xludf.DUMMYFUNCTION("SPLIT(MID(C211,2,LEN(C211)-2), "","")"),768.0)</f>
        <v>768</v>
      </c>
      <c r="E211" s="7"/>
      <c r="F211" s="7"/>
      <c r="G211" s="2" t="str">
        <f t="array" ref="G211">IF(ISBLANK(D211), "", INDEX(Categories!$B:$B,MATCH(D211,Categories!$A:$A,0)))</f>
        <v>Thrift Stores</v>
      </c>
      <c r="H211" s="7" t="str">
        <f t="array" ref="H211">IF(ISBLANK(E211), "", INDEX(Categories!$B:$B,MATCH(E211,Categories!$A:$A,0)))</f>
        <v/>
      </c>
      <c r="I211" s="7" t="str">
        <f t="array" ref="I211">IF(ISBLANK(F211), "", INDEX(Categories!$B:$B,MATCH(F211,Categories!$A:$A,0)))</f>
        <v/>
      </c>
      <c r="J211" s="4"/>
      <c r="K211" s="4"/>
      <c r="L211" s="4"/>
      <c r="M211" s="4"/>
      <c r="N211" s="4"/>
      <c r="O211" s="4"/>
      <c r="P211" s="4"/>
      <c r="Q211" s="4"/>
    </row>
    <row r="212">
      <c r="A212" s="5">
        <v>211.0</v>
      </c>
      <c r="B212" s="5" t="s">
        <v>333</v>
      </c>
      <c r="C212" s="5" t="s">
        <v>212</v>
      </c>
      <c r="D212" s="6">
        <f>IFERROR(__xludf.DUMMYFUNCTION("SPLIT(MID(C212,2,LEN(C212)-2), "","")"),446.0)</f>
        <v>446</v>
      </c>
      <c r="E212" s="7"/>
      <c r="F212" s="7"/>
      <c r="G212" s="2" t="str">
        <f t="array" ref="G212">IF(ISBLANK(D212), "", INDEX(Categories!$B:$B,MATCH(D212,Categories!$A:$A,0)))</f>
        <v>Beauty Salons</v>
      </c>
      <c r="H212" s="7" t="str">
        <f t="array" ref="H212">IF(ISBLANK(E212), "", INDEX(Categories!$B:$B,MATCH(E212,Categories!$A:$A,0)))</f>
        <v/>
      </c>
      <c r="I212" s="7" t="str">
        <f t="array" ref="I212">IF(ISBLANK(F212), "", INDEX(Categories!$B:$B,MATCH(F212,Categories!$A:$A,0)))</f>
        <v/>
      </c>
      <c r="J212" s="4"/>
      <c r="K212" s="4"/>
      <c r="L212" s="4"/>
      <c r="M212" s="4"/>
      <c r="N212" s="4"/>
      <c r="O212" s="4"/>
      <c r="P212" s="4"/>
      <c r="Q212" s="4"/>
    </row>
    <row r="213">
      <c r="A213" s="5">
        <v>212.0</v>
      </c>
      <c r="B213" s="5" t="s">
        <v>334</v>
      </c>
      <c r="C213" s="5" t="s">
        <v>335</v>
      </c>
      <c r="D213" s="6">
        <f>IFERROR(__xludf.DUMMYFUNCTION("SPLIT(MID(C213,2,LEN(C213)-2), "","")"),824.0)</f>
        <v>824</v>
      </c>
      <c r="E213" s="7"/>
      <c r="F213" s="7"/>
      <c r="G213" s="2" t="str">
        <f t="array" ref="G213">IF(ISBLANK(D213), "", INDEX(Categories!$B:$B,MATCH(D213,Categories!$A:$A,0)))</f>
        <v>Community Organizations</v>
      </c>
      <c r="H213" s="7" t="str">
        <f t="array" ref="H213">IF(ISBLANK(E213), "", INDEX(Categories!$B:$B,MATCH(E213,Categories!$A:$A,0)))</f>
        <v/>
      </c>
      <c r="I213" s="7" t="str">
        <f t="array" ref="I213">IF(ISBLANK(F213), "", INDEX(Categories!$B:$B,MATCH(F213,Categories!$A:$A,0)))</f>
        <v/>
      </c>
      <c r="J213" s="4"/>
      <c r="K213" s="4"/>
      <c r="L213" s="4"/>
      <c r="M213" s="4"/>
      <c r="N213" s="4"/>
      <c r="O213" s="4"/>
      <c r="P213" s="4"/>
      <c r="Q213" s="4"/>
    </row>
    <row r="214">
      <c r="A214" s="5">
        <v>213.0</v>
      </c>
      <c r="B214" s="5" t="s">
        <v>336</v>
      </c>
      <c r="C214" s="5" t="s">
        <v>18</v>
      </c>
      <c r="D214" s="6">
        <f>IFERROR(__xludf.DUMMYFUNCTION("SPLIT(MID(C214,2,LEN(C214)-2), "","")"),121.0)</f>
        <v>121</v>
      </c>
      <c r="E214" s="7"/>
      <c r="F214" s="7"/>
      <c r="G214" s="2" t="str">
        <f t="array" ref="G214">IF(ISBLANK(D214), "", INDEX(Categories!$B:$B,MATCH(D214,Categories!$A:$A,0)))</f>
        <v>Insurance</v>
      </c>
      <c r="H214" s="7" t="str">
        <f t="array" ref="H214">IF(ISBLANK(E214), "", INDEX(Categories!$B:$B,MATCH(E214,Categories!$A:$A,0)))</f>
        <v/>
      </c>
      <c r="I214" s="7" t="str">
        <f t="array" ref="I214">IF(ISBLANK(F214), "", INDEX(Categories!$B:$B,MATCH(F214,Categories!$A:$A,0)))</f>
        <v/>
      </c>
      <c r="J214" s="4"/>
      <c r="K214" s="4"/>
      <c r="L214" s="4"/>
      <c r="M214" s="4"/>
      <c r="N214" s="4"/>
      <c r="O214" s="4"/>
      <c r="P214" s="4"/>
      <c r="Q214" s="4"/>
    </row>
    <row r="215">
      <c r="A215" s="5">
        <v>214.0</v>
      </c>
      <c r="B215" s="5" t="s">
        <v>337</v>
      </c>
      <c r="C215" s="5" t="s">
        <v>338</v>
      </c>
      <c r="D215" s="6">
        <f>IFERROR(__xludf.DUMMYFUNCTION("SPLIT(MID(C215,2,LEN(C215)-2), "","")"),244.0)</f>
        <v>244</v>
      </c>
      <c r="E215" s="7"/>
      <c r="F215" s="7"/>
      <c r="G215" s="2" t="str">
        <f t="array" ref="G215">IF(ISBLANK(D215), "", INDEX(Categories!$B:$B,MATCH(D215,Categories!$A:$A,0)))</f>
        <v>Office Services, Supplies &amp; Equipment</v>
      </c>
      <c r="H215" s="7" t="str">
        <f t="array" ref="H215">IF(ISBLANK(E215), "", INDEX(Categories!$B:$B,MATCH(E215,Categories!$A:$A,0)))</f>
        <v/>
      </c>
      <c r="I215" s="7" t="str">
        <f t="array" ref="I215">IF(ISBLANK(F215), "", INDEX(Categories!$B:$B,MATCH(F215,Categories!$A:$A,0)))</f>
        <v/>
      </c>
      <c r="J215" s="4"/>
      <c r="K215" s="4"/>
      <c r="L215" s="4"/>
      <c r="M215" s="4"/>
      <c r="N215" s="4"/>
      <c r="O215" s="4"/>
      <c r="P215" s="4"/>
      <c r="Q215" s="4"/>
    </row>
    <row r="216">
      <c r="A216" s="5">
        <v>215.0</v>
      </c>
      <c r="B216" s="5" t="s">
        <v>339</v>
      </c>
      <c r="C216" s="5" t="s">
        <v>149</v>
      </c>
      <c r="D216" s="6">
        <f>IFERROR(__xludf.DUMMYFUNCTION("SPLIT(MID(C216,2,LEN(C216)-2), "","")"),560.0)</f>
        <v>560</v>
      </c>
      <c r="E216" s="7"/>
      <c r="F216" s="7"/>
      <c r="G216" s="2" t="str">
        <f t="array" ref="G216">IF(ISBLANK(D216), "", INDEX(Categories!$B:$B,MATCH(D216,Categories!$A:$A,0)))</f>
        <v>Employment Contractors Temporary Help Services</v>
      </c>
      <c r="H216" s="7" t="str">
        <f t="array" ref="H216">IF(ISBLANK(E216), "", INDEX(Categories!$B:$B,MATCH(E216,Categories!$A:$A,0)))</f>
        <v/>
      </c>
      <c r="I216" s="7" t="str">
        <f t="array" ref="I216">IF(ISBLANK(F216), "", INDEX(Categories!$B:$B,MATCH(F216,Categories!$A:$A,0)))</f>
        <v/>
      </c>
      <c r="J216" s="4"/>
      <c r="K216" s="4"/>
      <c r="L216" s="4"/>
      <c r="M216" s="4"/>
      <c r="N216" s="4"/>
      <c r="O216" s="4"/>
      <c r="P216" s="4"/>
      <c r="Q216" s="4"/>
    </row>
    <row r="217">
      <c r="A217" s="5">
        <v>216.0</v>
      </c>
      <c r="B217" s="5" t="s">
        <v>340</v>
      </c>
      <c r="C217" s="5" t="s">
        <v>341</v>
      </c>
      <c r="D217" s="6">
        <f>IFERROR(__xludf.DUMMYFUNCTION("SPLIT(MID(C217,2,LEN(C217)-2), "","")"),2499.0)</f>
        <v>2499</v>
      </c>
      <c r="E217" s="7"/>
      <c r="F217" s="7"/>
      <c r="G217" s="2" t="str">
        <f t="array" ref="G217">IF(ISBLANK(D217), "", INDEX(Categories!$B:$B,MATCH(D217,Categories!$A:$A,0)))</f>
        <v>Diet, Nutrition &amp; Weight Management</v>
      </c>
      <c r="H217" s="7" t="str">
        <f t="array" ref="H217">IF(ISBLANK(E217), "", INDEX(Categories!$B:$B,MATCH(E217,Categories!$A:$A,0)))</f>
        <v/>
      </c>
      <c r="I217" s="7" t="str">
        <f t="array" ref="I217">IF(ISBLANK(F217), "", INDEX(Categories!$B:$B,MATCH(F217,Categories!$A:$A,0)))</f>
        <v/>
      </c>
      <c r="J217" s="4"/>
      <c r="K217" s="4"/>
      <c r="L217" s="4"/>
      <c r="M217" s="4"/>
      <c r="N217" s="4"/>
      <c r="O217" s="4"/>
      <c r="P217" s="4"/>
      <c r="Q217" s="4"/>
    </row>
    <row r="218">
      <c r="A218" s="5">
        <v>217.0</v>
      </c>
      <c r="B218" s="5" t="s">
        <v>342</v>
      </c>
      <c r="C218" s="5" t="s">
        <v>274</v>
      </c>
      <c r="D218" s="6">
        <f>IFERROR(__xludf.DUMMYFUNCTION("SPLIT(MID(C218,2,LEN(C218)-2), "","")"),619.0)</f>
        <v>619</v>
      </c>
      <c r="E218" s="7"/>
      <c r="F218" s="7"/>
      <c r="G218" s="2" t="str">
        <f t="array" ref="G218">IF(ISBLANK(D218), "", INDEX(Categories!$B:$B,MATCH(D218,Categories!$A:$A,0)))</f>
        <v>Jewelry</v>
      </c>
      <c r="H218" s="7" t="str">
        <f t="array" ref="H218">IF(ISBLANK(E218), "", INDEX(Categories!$B:$B,MATCH(E218,Categories!$A:$A,0)))</f>
        <v/>
      </c>
      <c r="I218" s="7" t="str">
        <f t="array" ref="I218">IF(ISBLANK(F218), "", INDEX(Categories!$B:$B,MATCH(F218,Categories!$A:$A,0)))</f>
        <v/>
      </c>
      <c r="J218" s="4"/>
      <c r="K218" s="4"/>
      <c r="L218" s="4"/>
      <c r="M218" s="4"/>
      <c r="N218" s="4"/>
      <c r="O218" s="4"/>
      <c r="P218" s="4"/>
      <c r="Q218" s="4"/>
    </row>
    <row r="219">
      <c r="A219" s="5">
        <v>218.0</v>
      </c>
      <c r="B219" s="5" t="s">
        <v>343</v>
      </c>
      <c r="C219" s="5" t="s">
        <v>344</v>
      </c>
      <c r="D219" s="6">
        <f>IFERROR(__xludf.DUMMYFUNCTION("SPLIT(MID(C219,2,LEN(C219)-2), "","")"),197.0)</f>
        <v>197</v>
      </c>
      <c r="E219" s="7"/>
      <c r="F219" s="7"/>
      <c r="G219" s="2" t="str">
        <f t="array" ref="G219">IF(ISBLANK(D219), "", INDEX(Categories!$B:$B,MATCH(D219,Categories!$A:$A,0)))</f>
        <v>Child Care Services</v>
      </c>
      <c r="H219" s="7" t="str">
        <f t="array" ref="H219">IF(ISBLANK(E219), "", INDEX(Categories!$B:$B,MATCH(E219,Categories!$A:$A,0)))</f>
        <v/>
      </c>
      <c r="I219" s="7" t="str">
        <f t="array" ref="I219">IF(ISBLANK(F219), "", INDEX(Categories!$B:$B,MATCH(F219,Categories!$A:$A,0)))</f>
        <v/>
      </c>
      <c r="J219" s="4"/>
      <c r="K219" s="4"/>
      <c r="L219" s="4"/>
      <c r="M219" s="4"/>
      <c r="N219" s="4"/>
      <c r="O219" s="4"/>
      <c r="P219" s="4"/>
      <c r="Q219" s="4"/>
    </row>
    <row r="220">
      <c r="A220" s="5">
        <v>219.0</v>
      </c>
      <c r="B220" s="5" t="s">
        <v>345</v>
      </c>
      <c r="C220" s="5" t="s">
        <v>346</v>
      </c>
      <c r="D220" s="6">
        <f>IFERROR(__xludf.DUMMYFUNCTION("SPLIT(MID(C220,2,LEN(C220)-2), "","")"),610.0)</f>
        <v>610</v>
      </c>
      <c r="E220" s="7"/>
      <c r="F220" s="7"/>
      <c r="G220" s="2" t="str">
        <f t="array" ref="G220">IF(ISBLANK(D220), "", INDEX(Categories!$B:$B,MATCH(D220,Categories!$A:$A,0)))</f>
        <v>Supermarkets &amp; Super Stores</v>
      </c>
      <c r="H220" s="7" t="str">
        <f t="array" ref="H220">IF(ISBLANK(E220), "", INDEX(Categories!$B:$B,MATCH(E220,Categories!$A:$A,0)))</f>
        <v/>
      </c>
      <c r="I220" s="7" t="str">
        <f t="array" ref="I220">IF(ISBLANK(F220), "", INDEX(Categories!$B:$B,MATCH(F220,Categories!$A:$A,0)))</f>
        <v/>
      </c>
      <c r="J220" s="4"/>
      <c r="K220" s="4"/>
      <c r="L220" s="4"/>
      <c r="M220" s="4"/>
      <c r="N220" s="4"/>
      <c r="O220" s="4"/>
      <c r="P220" s="4"/>
      <c r="Q220" s="4"/>
    </row>
    <row r="221">
      <c r="A221" s="5">
        <v>220.0</v>
      </c>
      <c r="B221" s="5" t="s">
        <v>347</v>
      </c>
      <c r="C221" s="5" t="s">
        <v>149</v>
      </c>
      <c r="D221" s="6">
        <f>IFERROR(__xludf.DUMMYFUNCTION("SPLIT(MID(C221,2,LEN(C221)-2), "","")"),560.0)</f>
        <v>560</v>
      </c>
      <c r="E221" s="7"/>
      <c r="F221" s="7"/>
      <c r="G221" s="2" t="str">
        <f t="array" ref="G221">IF(ISBLANK(D221), "", INDEX(Categories!$B:$B,MATCH(D221,Categories!$A:$A,0)))</f>
        <v>Employment Contractors Temporary Help Services</v>
      </c>
      <c r="H221" s="7" t="str">
        <f t="array" ref="H221">IF(ISBLANK(E221), "", INDEX(Categories!$B:$B,MATCH(E221,Categories!$A:$A,0)))</f>
        <v/>
      </c>
      <c r="I221" s="7" t="str">
        <f t="array" ref="I221">IF(ISBLANK(F221), "", INDEX(Categories!$B:$B,MATCH(F221,Categories!$A:$A,0)))</f>
        <v/>
      </c>
      <c r="J221" s="4"/>
      <c r="K221" s="4"/>
      <c r="L221" s="4"/>
      <c r="M221" s="4"/>
      <c r="N221" s="4"/>
      <c r="O221" s="4"/>
      <c r="P221" s="4"/>
      <c r="Q221" s="4"/>
    </row>
    <row r="222">
      <c r="A222" s="5">
        <v>221.0</v>
      </c>
      <c r="B222" s="5" t="s">
        <v>348</v>
      </c>
      <c r="C222" s="5" t="s">
        <v>115</v>
      </c>
      <c r="D222" s="6">
        <f>IFERROR(__xludf.DUMMYFUNCTION("SPLIT(MID(C222,2,LEN(C222)-2), "","")"),1272.0)</f>
        <v>1272</v>
      </c>
      <c r="E222" s="7"/>
      <c r="F222" s="7"/>
      <c r="G222" s="2" t="str">
        <f t="array" ref="G222">IF(ISBLANK(D222), "", INDEX(Categories!$B:$B,MATCH(D222,Categories!$A:$A,0)))</f>
        <v>Womens Apparel</v>
      </c>
      <c r="H222" s="7" t="str">
        <f t="array" ref="H222">IF(ISBLANK(E222), "", INDEX(Categories!$B:$B,MATCH(E222,Categories!$A:$A,0)))</f>
        <v/>
      </c>
      <c r="I222" s="7" t="str">
        <f t="array" ref="I222">IF(ISBLANK(F222), "", INDEX(Categories!$B:$B,MATCH(F222,Categories!$A:$A,0)))</f>
        <v/>
      </c>
      <c r="J222" s="4"/>
      <c r="K222" s="4"/>
      <c r="L222" s="4"/>
      <c r="M222" s="4"/>
      <c r="N222" s="4"/>
      <c r="O222" s="4"/>
      <c r="P222" s="4"/>
      <c r="Q222" s="4"/>
    </row>
    <row r="223">
      <c r="A223" s="5">
        <v>222.0</v>
      </c>
      <c r="B223" s="5" t="s">
        <v>349</v>
      </c>
      <c r="C223" s="5" t="s">
        <v>18</v>
      </c>
      <c r="D223" s="6">
        <f>IFERROR(__xludf.DUMMYFUNCTION("SPLIT(MID(C223,2,LEN(C223)-2), "","")"),121.0)</f>
        <v>121</v>
      </c>
      <c r="E223" s="7"/>
      <c r="F223" s="7"/>
      <c r="G223" s="2" t="str">
        <f t="array" ref="G223">IF(ISBLANK(D223), "", INDEX(Categories!$B:$B,MATCH(D223,Categories!$A:$A,0)))</f>
        <v>Insurance</v>
      </c>
      <c r="H223" s="7" t="str">
        <f t="array" ref="H223">IF(ISBLANK(E223), "", INDEX(Categories!$B:$B,MATCH(E223,Categories!$A:$A,0)))</f>
        <v/>
      </c>
      <c r="I223" s="7" t="str">
        <f t="array" ref="I223">IF(ISBLANK(F223), "", INDEX(Categories!$B:$B,MATCH(F223,Categories!$A:$A,0)))</f>
        <v/>
      </c>
      <c r="J223" s="4"/>
      <c r="K223" s="4"/>
      <c r="L223" s="4"/>
      <c r="M223" s="4"/>
      <c r="N223" s="4"/>
      <c r="O223" s="4"/>
      <c r="P223" s="4"/>
      <c r="Q223" s="4"/>
    </row>
    <row r="224">
      <c r="A224" s="5">
        <v>223.0</v>
      </c>
      <c r="B224" s="5" t="s">
        <v>350</v>
      </c>
      <c r="C224" s="5" t="s">
        <v>102</v>
      </c>
      <c r="D224" s="6">
        <f>IFERROR(__xludf.DUMMYFUNCTION("SPLIT(MID(C224,2,LEN(C224)-2), "","")"),298.0)</f>
        <v>298</v>
      </c>
      <c r="E224" s="7"/>
      <c r="F224" s="7"/>
      <c r="G224" s="2" t="str">
        <f t="array" ref="G224">IF(ISBLANK(D224), "", INDEX(Categories!$B:$B,MATCH(D224,Categories!$A:$A,0)))</f>
        <v>Financial Services</v>
      </c>
      <c r="H224" s="7" t="str">
        <f t="array" ref="H224">IF(ISBLANK(E224), "", INDEX(Categories!$B:$B,MATCH(E224,Categories!$A:$A,0)))</f>
        <v/>
      </c>
      <c r="I224" s="7" t="str">
        <f t="array" ref="I224">IF(ISBLANK(F224), "", INDEX(Categories!$B:$B,MATCH(F224,Categories!$A:$A,0)))</f>
        <v/>
      </c>
      <c r="J224" s="4"/>
      <c r="K224" s="4"/>
      <c r="L224" s="4"/>
      <c r="M224" s="4"/>
      <c r="N224" s="4"/>
      <c r="O224" s="4"/>
      <c r="P224" s="4"/>
      <c r="Q224" s="4"/>
    </row>
    <row r="225">
      <c r="A225" s="5">
        <v>224.0</v>
      </c>
      <c r="B225" s="5" t="s">
        <v>351</v>
      </c>
      <c r="C225" s="5" t="s">
        <v>352</v>
      </c>
      <c r="D225" s="6">
        <f>IFERROR(__xludf.DUMMYFUNCTION("SPLIT(MID(C225,2,LEN(C225)-2), "","")"),1288.0)</f>
        <v>1288</v>
      </c>
      <c r="E225" s="7"/>
      <c r="F225" s="7"/>
      <c r="G225" s="2" t="str">
        <f t="array" ref="G225">IF(ISBLANK(D225), "", INDEX(Categories!$B:$B,MATCH(D225,Categories!$A:$A,0)))</f>
        <v>Automobile Body Shop Services</v>
      </c>
      <c r="H225" s="7" t="str">
        <f t="array" ref="H225">IF(ISBLANK(E225), "", INDEX(Categories!$B:$B,MATCH(E225,Categories!$A:$A,0)))</f>
        <v/>
      </c>
      <c r="I225" s="7" t="str">
        <f t="array" ref="I225">IF(ISBLANK(F225), "", INDEX(Categories!$B:$B,MATCH(F225,Categories!$A:$A,0)))</f>
        <v/>
      </c>
      <c r="J225" s="4"/>
      <c r="K225" s="4"/>
      <c r="L225" s="4"/>
      <c r="M225" s="4"/>
      <c r="N225" s="4"/>
      <c r="O225" s="4"/>
      <c r="P225" s="4"/>
      <c r="Q225" s="4"/>
    </row>
    <row r="226">
      <c r="A226" s="5">
        <v>225.0</v>
      </c>
      <c r="B226" s="5" t="s">
        <v>353</v>
      </c>
      <c r="C226" s="5" t="s">
        <v>149</v>
      </c>
      <c r="D226" s="6">
        <f>IFERROR(__xludf.DUMMYFUNCTION("SPLIT(MID(C226,2,LEN(C226)-2), "","")"),560.0)</f>
        <v>560</v>
      </c>
      <c r="E226" s="7"/>
      <c r="F226" s="7"/>
      <c r="G226" s="2" t="str">
        <f t="array" ref="G226">IF(ISBLANK(D226), "", INDEX(Categories!$B:$B,MATCH(D226,Categories!$A:$A,0)))</f>
        <v>Employment Contractors Temporary Help Services</v>
      </c>
      <c r="H226" s="7" t="str">
        <f t="array" ref="H226">IF(ISBLANK(E226), "", INDEX(Categories!$B:$B,MATCH(E226,Categories!$A:$A,0)))</f>
        <v/>
      </c>
      <c r="I226" s="7" t="str">
        <f t="array" ref="I226">IF(ISBLANK(F226), "", INDEX(Categories!$B:$B,MATCH(F226,Categories!$A:$A,0)))</f>
        <v/>
      </c>
      <c r="J226" s="4"/>
      <c r="K226" s="4"/>
      <c r="L226" s="4"/>
      <c r="M226" s="4"/>
      <c r="N226" s="4"/>
      <c r="O226" s="4"/>
      <c r="P226" s="4"/>
      <c r="Q226" s="4"/>
    </row>
    <row r="227">
      <c r="A227" s="5">
        <v>226.0</v>
      </c>
      <c r="B227" s="5" t="s">
        <v>354</v>
      </c>
      <c r="C227" s="5" t="s">
        <v>139</v>
      </c>
      <c r="D227" s="6">
        <f>IFERROR(__xludf.DUMMYFUNCTION("SPLIT(MID(C227,2,LEN(C227)-2), "","")"),1617.0)</f>
        <v>1617</v>
      </c>
      <c r="E227" s="7"/>
      <c r="F227" s="7"/>
      <c r="G227" s="2" t="str">
        <f t="array" ref="G227">IF(ISBLANK(D227), "", INDEX(Categories!$B:$B,MATCH(D227,Categories!$A:$A,0)))</f>
        <v>Department Stores</v>
      </c>
      <c r="H227" s="7" t="str">
        <f t="array" ref="H227">IF(ISBLANK(E227), "", INDEX(Categories!$B:$B,MATCH(E227,Categories!$A:$A,0)))</f>
        <v/>
      </c>
      <c r="I227" s="7" t="str">
        <f t="array" ref="I227">IF(ISBLANK(F227), "", INDEX(Categories!$B:$B,MATCH(F227,Categories!$A:$A,0)))</f>
        <v/>
      </c>
      <c r="J227" s="4"/>
      <c r="K227" s="4"/>
      <c r="L227" s="4"/>
      <c r="M227" s="4"/>
      <c r="N227" s="4"/>
      <c r="O227" s="4"/>
      <c r="P227" s="4"/>
      <c r="Q227" s="4"/>
    </row>
    <row r="228">
      <c r="A228" s="5">
        <v>227.0</v>
      </c>
      <c r="B228" s="5" t="s">
        <v>355</v>
      </c>
      <c r="C228" s="5" t="s">
        <v>115</v>
      </c>
      <c r="D228" s="6">
        <f>IFERROR(__xludf.DUMMYFUNCTION("SPLIT(MID(C228,2,LEN(C228)-2), "","")"),1272.0)</f>
        <v>1272</v>
      </c>
      <c r="E228" s="7"/>
      <c r="F228" s="7"/>
      <c r="G228" s="2" t="str">
        <f t="array" ref="G228">IF(ISBLANK(D228), "", INDEX(Categories!$B:$B,MATCH(D228,Categories!$A:$A,0)))</f>
        <v>Womens Apparel</v>
      </c>
      <c r="H228" s="7" t="str">
        <f t="array" ref="H228">IF(ISBLANK(E228), "", INDEX(Categories!$B:$B,MATCH(E228,Categories!$A:$A,0)))</f>
        <v/>
      </c>
      <c r="I228" s="7" t="str">
        <f t="array" ref="I228">IF(ISBLANK(F228), "", INDEX(Categories!$B:$B,MATCH(F228,Categories!$A:$A,0)))</f>
        <v/>
      </c>
      <c r="J228" s="4"/>
      <c r="K228" s="4"/>
      <c r="L228" s="4"/>
      <c r="M228" s="4"/>
      <c r="N228" s="4"/>
      <c r="O228" s="4"/>
      <c r="P228" s="4"/>
      <c r="Q228" s="4"/>
    </row>
    <row r="229">
      <c r="A229" s="5">
        <v>228.0</v>
      </c>
      <c r="B229" s="5" t="s">
        <v>356</v>
      </c>
      <c r="C229" s="5" t="s">
        <v>87</v>
      </c>
      <c r="D229" s="6">
        <f>IFERROR(__xludf.DUMMYFUNCTION("SPLIT(MID(C229,2,LEN(C229)-2), "","")"),168.0)</f>
        <v>168</v>
      </c>
      <c r="E229" s="7"/>
      <c r="F229" s="7"/>
      <c r="G229" s="2" t="str">
        <f t="array" ref="G229">IF(ISBLANK(D229), "", INDEX(Categories!$B:$B,MATCH(D229,Categories!$A:$A,0)))</f>
        <v>Hotels &amp; Motels</v>
      </c>
      <c r="H229" s="7" t="str">
        <f t="array" ref="H229">IF(ISBLANK(E229), "", INDEX(Categories!$B:$B,MATCH(E229,Categories!$A:$A,0)))</f>
        <v/>
      </c>
      <c r="I229" s="7" t="str">
        <f t="array" ref="I229">IF(ISBLANK(F229), "", INDEX(Categories!$B:$B,MATCH(F229,Categories!$A:$A,0)))</f>
        <v/>
      </c>
      <c r="J229" s="4"/>
      <c r="K229" s="4"/>
      <c r="L229" s="4"/>
      <c r="M229" s="4"/>
      <c r="N229" s="4"/>
      <c r="O229" s="4"/>
      <c r="P229" s="4"/>
      <c r="Q229" s="4"/>
    </row>
    <row r="230">
      <c r="A230" s="5">
        <v>229.0</v>
      </c>
      <c r="B230" s="5" t="s">
        <v>357</v>
      </c>
      <c r="C230" s="5" t="s">
        <v>41</v>
      </c>
      <c r="D230" s="6">
        <f>IFERROR(__xludf.DUMMYFUNCTION("SPLIT(MID(C230,2,LEN(C230)-2), "","")"),93.0)</f>
        <v>93</v>
      </c>
      <c r="E230" s="7"/>
      <c r="F230" s="7"/>
      <c r="G230" s="2" t="str">
        <f t="array" ref="G230">IF(ISBLANK(D230), "", INDEX(Categories!$B:$B,MATCH(D230,Categories!$A:$A,0)))</f>
        <v>Automobile - Rentals</v>
      </c>
      <c r="H230" s="7" t="str">
        <f t="array" ref="H230">IF(ISBLANK(E230), "", INDEX(Categories!$B:$B,MATCH(E230,Categories!$A:$A,0)))</f>
        <v/>
      </c>
      <c r="I230" s="7" t="str">
        <f t="array" ref="I230">IF(ISBLANK(F230), "", INDEX(Categories!$B:$B,MATCH(F230,Categories!$A:$A,0)))</f>
        <v/>
      </c>
      <c r="J230" s="4"/>
      <c r="K230" s="4"/>
      <c r="L230" s="4"/>
      <c r="M230" s="4"/>
      <c r="N230" s="4"/>
      <c r="O230" s="4"/>
      <c r="P230" s="4"/>
      <c r="Q230" s="4"/>
    </row>
    <row r="231">
      <c r="A231" s="5">
        <v>230.0</v>
      </c>
      <c r="B231" s="5" t="s">
        <v>358</v>
      </c>
      <c r="C231" s="5" t="s">
        <v>18</v>
      </c>
      <c r="D231" s="6">
        <f>IFERROR(__xludf.DUMMYFUNCTION("SPLIT(MID(C231,2,LEN(C231)-2), "","")"),121.0)</f>
        <v>121</v>
      </c>
      <c r="E231" s="7"/>
      <c r="F231" s="7"/>
      <c r="G231" s="2" t="str">
        <f t="array" ref="G231">IF(ISBLANK(D231), "", INDEX(Categories!$B:$B,MATCH(D231,Categories!$A:$A,0)))</f>
        <v>Insurance</v>
      </c>
      <c r="H231" s="7" t="str">
        <f t="array" ref="H231">IF(ISBLANK(E231), "", INDEX(Categories!$B:$B,MATCH(E231,Categories!$A:$A,0)))</f>
        <v/>
      </c>
      <c r="I231" s="7" t="str">
        <f t="array" ref="I231">IF(ISBLANK(F231), "", INDEX(Categories!$B:$B,MATCH(F231,Categories!$A:$A,0)))</f>
        <v/>
      </c>
      <c r="J231" s="4"/>
      <c r="K231" s="4"/>
      <c r="L231" s="4"/>
      <c r="M231" s="4"/>
      <c r="N231" s="4"/>
      <c r="O231" s="4"/>
      <c r="P231" s="4"/>
      <c r="Q231" s="4"/>
    </row>
    <row r="232">
      <c r="A232" s="5">
        <v>231.0</v>
      </c>
      <c r="B232" s="5" t="s">
        <v>359</v>
      </c>
      <c r="C232" s="5" t="s">
        <v>360</v>
      </c>
      <c r="D232" s="6">
        <f>IFERROR(__xludf.DUMMYFUNCTION("SPLIT(MID(C232,2,LEN(C232)-2), "","")"),2021.0)</f>
        <v>2021</v>
      </c>
      <c r="E232" s="7"/>
      <c r="F232" s="7"/>
      <c r="G232" s="2" t="str">
        <f t="array" ref="G232">IF(ISBLANK(D232), "", INDEX(Categories!$B:$B,MATCH(D232,Categories!$A:$A,0)))</f>
        <v>Health Services</v>
      </c>
      <c r="H232" s="7" t="str">
        <f t="array" ref="H232">IF(ISBLANK(E232), "", INDEX(Categories!$B:$B,MATCH(E232,Categories!$A:$A,0)))</f>
        <v/>
      </c>
      <c r="I232" s="7" t="str">
        <f t="array" ref="I232">IF(ISBLANK(F232), "", INDEX(Categories!$B:$B,MATCH(F232,Categories!$A:$A,0)))</f>
        <v/>
      </c>
      <c r="J232" s="4"/>
      <c r="K232" s="4"/>
      <c r="L232" s="4"/>
      <c r="M232" s="4"/>
      <c r="N232" s="4"/>
      <c r="O232" s="4"/>
      <c r="P232" s="4"/>
      <c r="Q232" s="4"/>
    </row>
    <row r="233">
      <c r="A233" s="5">
        <v>232.0</v>
      </c>
      <c r="B233" s="5" t="s">
        <v>361</v>
      </c>
      <c r="C233" s="5" t="s">
        <v>341</v>
      </c>
      <c r="D233" s="6">
        <f>IFERROR(__xludf.DUMMYFUNCTION("SPLIT(MID(C233,2,LEN(C233)-2), "","")"),2499.0)</f>
        <v>2499</v>
      </c>
      <c r="E233" s="7"/>
      <c r="F233" s="7"/>
      <c r="G233" s="2" t="str">
        <f t="array" ref="G233">IF(ISBLANK(D233), "", INDEX(Categories!$B:$B,MATCH(D233,Categories!$A:$A,0)))</f>
        <v>Diet, Nutrition &amp; Weight Management</v>
      </c>
      <c r="H233" s="7" t="str">
        <f t="array" ref="H233">IF(ISBLANK(E233), "", INDEX(Categories!$B:$B,MATCH(E233,Categories!$A:$A,0)))</f>
        <v/>
      </c>
      <c r="I233" s="7" t="str">
        <f t="array" ref="I233">IF(ISBLANK(F233), "", INDEX(Categories!$B:$B,MATCH(F233,Categories!$A:$A,0)))</f>
        <v/>
      </c>
      <c r="J233" s="4"/>
      <c r="K233" s="4"/>
      <c r="L233" s="4"/>
      <c r="M233" s="4"/>
      <c r="N233" s="4"/>
      <c r="O233" s="4"/>
      <c r="P233" s="4"/>
      <c r="Q233" s="4"/>
    </row>
    <row r="234">
      <c r="A234" s="5">
        <v>233.0</v>
      </c>
      <c r="B234" s="5" t="s">
        <v>362</v>
      </c>
      <c r="C234" s="5" t="s">
        <v>34</v>
      </c>
      <c r="D234" s="6">
        <f>IFERROR(__xludf.DUMMYFUNCTION("SPLIT(MID(C234,2,LEN(C234)-2), "","")"),228.0)</f>
        <v>228</v>
      </c>
      <c r="E234" s="7"/>
      <c r="F234" s="7"/>
      <c r="G234" s="2" t="str">
        <f t="array" ref="G234">IF(ISBLANK(D234), "", INDEX(Categories!$B:$B,MATCH(D234,Categories!$A:$A,0)))</f>
        <v>Restaurants</v>
      </c>
      <c r="H234" s="7" t="str">
        <f t="array" ref="H234">IF(ISBLANK(E234), "", INDEX(Categories!$B:$B,MATCH(E234,Categories!$A:$A,0)))</f>
        <v/>
      </c>
      <c r="I234" s="7" t="str">
        <f t="array" ref="I234">IF(ISBLANK(F234), "", INDEX(Categories!$B:$B,MATCH(F234,Categories!$A:$A,0)))</f>
        <v/>
      </c>
      <c r="J234" s="4"/>
      <c r="K234" s="4"/>
      <c r="L234" s="4"/>
      <c r="M234" s="4"/>
      <c r="N234" s="4"/>
      <c r="O234" s="4"/>
      <c r="P234" s="4"/>
      <c r="Q234" s="4"/>
    </row>
    <row r="235">
      <c r="A235" s="5">
        <v>234.0</v>
      </c>
      <c r="B235" s="5" t="s">
        <v>363</v>
      </c>
      <c r="C235" s="5" t="s">
        <v>364</v>
      </c>
      <c r="D235" s="6">
        <f>IFERROR(__xludf.DUMMYFUNCTION("SPLIT(MID(C235,2,LEN(C235)-2), "","")"),555.0)</f>
        <v>555</v>
      </c>
      <c r="E235" s="7"/>
      <c r="F235" s="7"/>
      <c r="G235" s="2" t="str">
        <f t="array" ref="G235">IF(ISBLANK(D235), "", INDEX(Categories!$B:$B,MATCH(D235,Categories!$A:$A,0)))</f>
        <v>Dry Cleaners</v>
      </c>
      <c r="H235" s="7" t="str">
        <f t="array" ref="H235">IF(ISBLANK(E235), "", INDEX(Categories!$B:$B,MATCH(E235,Categories!$A:$A,0)))</f>
        <v/>
      </c>
      <c r="I235" s="7" t="str">
        <f t="array" ref="I235">IF(ISBLANK(F235), "", INDEX(Categories!$B:$B,MATCH(F235,Categories!$A:$A,0)))</f>
        <v/>
      </c>
      <c r="J235" s="4"/>
      <c r="K235" s="4"/>
      <c r="L235" s="4"/>
      <c r="M235" s="4"/>
      <c r="N235" s="4"/>
      <c r="O235" s="4"/>
      <c r="P235" s="4"/>
      <c r="Q235" s="4"/>
    </row>
    <row r="236">
      <c r="A236" s="5">
        <v>235.0</v>
      </c>
      <c r="B236" s="5" t="s">
        <v>365</v>
      </c>
      <c r="C236" s="5" t="s">
        <v>34</v>
      </c>
      <c r="D236" s="6">
        <f>IFERROR(__xludf.DUMMYFUNCTION("SPLIT(MID(C236,2,LEN(C236)-2), "","")"),228.0)</f>
        <v>228</v>
      </c>
      <c r="E236" s="7"/>
      <c r="F236" s="7"/>
      <c r="G236" s="2" t="str">
        <f t="array" ref="G236">IF(ISBLANK(D236), "", INDEX(Categories!$B:$B,MATCH(D236,Categories!$A:$A,0)))</f>
        <v>Restaurants</v>
      </c>
      <c r="H236" s="7" t="str">
        <f t="array" ref="H236">IF(ISBLANK(E236), "", INDEX(Categories!$B:$B,MATCH(E236,Categories!$A:$A,0)))</f>
        <v/>
      </c>
      <c r="I236" s="7" t="str">
        <f t="array" ref="I236">IF(ISBLANK(F236), "", INDEX(Categories!$B:$B,MATCH(F236,Categories!$A:$A,0)))</f>
        <v/>
      </c>
      <c r="J236" s="4"/>
      <c r="K236" s="4"/>
      <c r="L236" s="4"/>
      <c r="M236" s="4"/>
      <c r="N236" s="4"/>
      <c r="O236" s="4"/>
      <c r="P236" s="4"/>
      <c r="Q236" s="4"/>
    </row>
    <row r="237">
      <c r="A237" s="5">
        <v>236.0</v>
      </c>
      <c r="B237" s="5" t="s">
        <v>366</v>
      </c>
      <c r="C237" s="5" t="s">
        <v>16</v>
      </c>
      <c r="D237" s="6">
        <f>IFERROR(__xludf.DUMMYFUNCTION("SPLIT(MID(C237,2,LEN(C237)-2), "","")"),51.0)</f>
        <v>51</v>
      </c>
      <c r="E237" s="7"/>
      <c r="F237" s="7"/>
      <c r="G237" s="2" t="str">
        <f t="array" ref="G237">IF(ISBLANK(D237), "", INDEX(Categories!$B:$B,MATCH(D237,Categories!$A:$A,0)))</f>
        <v>Automobile Parts &amp; Supplies</v>
      </c>
      <c r="H237" s="7" t="str">
        <f t="array" ref="H237">IF(ISBLANK(E237), "", INDEX(Categories!$B:$B,MATCH(E237,Categories!$A:$A,0)))</f>
        <v/>
      </c>
      <c r="I237" s="7" t="str">
        <f t="array" ref="I237">IF(ISBLANK(F237), "", INDEX(Categories!$B:$B,MATCH(F237,Categories!$A:$A,0)))</f>
        <v/>
      </c>
      <c r="J237" s="4"/>
      <c r="K237" s="4"/>
      <c r="L237" s="4"/>
      <c r="M237" s="4"/>
      <c r="N237" s="4"/>
      <c r="O237" s="4"/>
      <c r="P237" s="4"/>
      <c r="Q237" s="4"/>
    </row>
    <row r="238">
      <c r="A238" s="5">
        <v>237.0</v>
      </c>
      <c r="B238" s="5" t="s">
        <v>367</v>
      </c>
      <c r="C238" s="5" t="s">
        <v>368</v>
      </c>
      <c r="D238" s="6">
        <f>IFERROR(__xludf.DUMMYFUNCTION("SPLIT(MID(C238,2,LEN(C238)-2), "","")"),1000.0)</f>
        <v>1000</v>
      </c>
      <c r="E238" s="7"/>
      <c r="F238" s="7"/>
      <c r="G238" s="2" t="str">
        <f t="array" ref="G238">IF(ISBLANK(D238), "", INDEX(Categories!$B:$B,MATCH(D238,Categories!$A:$A,0)))</f>
        <v>Telephone Companies</v>
      </c>
      <c r="H238" s="7" t="str">
        <f t="array" ref="H238">IF(ISBLANK(E238), "", INDEX(Categories!$B:$B,MATCH(E238,Categories!$A:$A,0)))</f>
        <v/>
      </c>
      <c r="I238" s="7" t="str">
        <f t="array" ref="I238">IF(ISBLANK(F238), "", INDEX(Categories!$B:$B,MATCH(F238,Categories!$A:$A,0)))</f>
        <v/>
      </c>
      <c r="J238" s="4"/>
      <c r="K238" s="4"/>
      <c r="L238" s="4"/>
      <c r="M238" s="4"/>
      <c r="N238" s="4"/>
      <c r="O238" s="4"/>
      <c r="P238" s="4"/>
      <c r="Q238" s="4"/>
    </row>
    <row r="239">
      <c r="A239" s="5">
        <v>238.0</v>
      </c>
      <c r="B239" s="5" t="s">
        <v>369</v>
      </c>
      <c r="C239" s="5" t="s">
        <v>34</v>
      </c>
      <c r="D239" s="6">
        <f>IFERROR(__xludf.DUMMYFUNCTION("SPLIT(MID(C239,2,LEN(C239)-2), "","")"),228.0)</f>
        <v>228</v>
      </c>
      <c r="E239" s="7"/>
      <c r="F239" s="7"/>
      <c r="G239" s="2" t="str">
        <f t="array" ref="G239">IF(ISBLANK(D239), "", INDEX(Categories!$B:$B,MATCH(D239,Categories!$A:$A,0)))</f>
        <v>Restaurants</v>
      </c>
      <c r="H239" s="7" t="str">
        <f t="array" ref="H239">IF(ISBLANK(E239), "", INDEX(Categories!$B:$B,MATCH(E239,Categories!$A:$A,0)))</f>
        <v/>
      </c>
      <c r="I239" s="7" t="str">
        <f t="array" ref="I239">IF(ISBLANK(F239), "", INDEX(Categories!$B:$B,MATCH(F239,Categories!$A:$A,0)))</f>
        <v/>
      </c>
      <c r="J239" s="4"/>
      <c r="K239" s="4"/>
      <c r="L239" s="4"/>
      <c r="M239" s="4"/>
      <c r="N239" s="4"/>
      <c r="O239" s="4"/>
      <c r="P239" s="4"/>
      <c r="Q239" s="4"/>
    </row>
    <row r="240">
      <c r="A240" s="5">
        <v>239.0</v>
      </c>
      <c r="B240" s="5" t="s">
        <v>370</v>
      </c>
      <c r="C240" s="5" t="s">
        <v>371</v>
      </c>
      <c r="D240" s="6">
        <f>IFERROR(__xludf.DUMMYFUNCTION("SPLIT(MID(C240,2,LEN(C240)-2), "","")"),37.0)</f>
        <v>37</v>
      </c>
      <c r="E240" s="7"/>
      <c r="F240" s="7"/>
      <c r="G240" s="2" t="str">
        <f t="array" ref="G240">IF(ISBLANK(D240), "", INDEX(Categories!$B:$B,MATCH(D240,Categories!$A:$A,0)))</f>
        <v>Home Furnishings</v>
      </c>
      <c r="H240" s="7" t="str">
        <f t="array" ref="H240">IF(ISBLANK(E240), "", INDEX(Categories!$B:$B,MATCH(E240,Categories!$A:$A,0)))</f>
        <v/>
      </c>
      <c r="I240" s="7" t="str">
        <f t="array" ref="I240">IF(ISBLANK(F240), "", INDEX(Categories!$B:$B,MATCH(F240,Categories!$A:$A,0)))</f>
        <v/>
      </c>
      <c r="J240" s="4"/>
      <c r="K240" s="4"/>
      <c r="L240" s="4"/>
      <c r="M240" s="4"/>
      <c r="N240" s="4"/>
      <c r="O240" s="4"/>
      <c r="P240" s="4"/>
      <c r="Q240" s="4"/>
    </row>
    <row r="241">
      <c r="A241" s="5">
        <v>240.0</v>
      </c>
      <c r="B241" s="5" t="s">
        <v>372</v>
      </c>
      <c r="C241" s="5" t="s">
        <v>274</v>
      </c>
      <c r="D241" s="6">
        <f>IFERROR(__xludf.DUMMYFUNCTION("SPLIT(MID(C241,2,LEN(C241)-2), "","")"),619.0)</f>
        <v>619</v>
      </c>
      <c r="E241" s="7"/>
      <c r="F241" s="7"/>
      <c r="G241" s="2" t="str">
        <f t="array" ref="G241">IF(ISBLANK(D241), "", INDEX(Categories!$B:$B,MATCH(D241,Categories!$A:$A,0)))</f>
        <v>Jewelry</v>
      </c>
      <c r="H241" s="7" t="str">
        <f t="array" ref="H241">IF(ISBLANK(E241), "", INDEX(Categories!$B:$B,MATCH(E241,Categories!$A:$A,0)))</f>
        <v/>
      </c>
      <c r="I241" s="7" t="str">
        <f t="array" ref="I241">IF(ISBLANK(F241), "", INDEX(Categories!$B:$B,MATCH(F241,Categories!$A:$A,0)))</f>
        <v/>
      </c>
      <c r="J241" s="4"/>
      <c r="K241" s="4"/>
      <c r="L241" s="4"/>
      <c r="M241" s="4"/>
      <c r="N241" s="4"/>
      <c r="O241" s="4"/>
      <c r="P241" s="4"/>
      <c r="Q241" s="4"/>
    </row>
    <row r="242">
      <c r="A242" s="5">
        <v>241.0</v>
      </c>
      <c r="B242" s="5" t="s">
        <v>373</v>
      </c>
      <c r="C242" s="5" t="s">
        <v>179</v>
      </c>
      <c r="D242" s="6">
        <f>IFERROR(__xludf.DUMMYFUNCTION("SPLIT(MID(C242,2,LEN(C242)-2), "","")"),2247.0)</f>
        <v>2247</v>
      </c>
      <c r="E242" s="7"/>
      <c r="F242" s="7"/>
      <c r="G242" s="2" t="str">
        <f t="array" ref="G242">IF(ISBLANK(D242), "", INDEX(Categories!$B:$B,MATCH(D242,Categories!$A:$A,0)))</f>
        <v>Copying &amp; Duplicating Service</v>
      </c>
      <c r="H242" s="7" t="str">
        <f t="array" ref="H242">IF(ISBLANK(E242), "", INDEX(Categories!$B:$B,MATCH(E242,Categories!$A:$A,0)))</f>
        <v/>
      </c>
      <c r="I242" s="7" t="str">
        <f t="array" ref="I242">IF(ISBLANK(F242), "", INDEX(Categories!$B:$B,MATCH(F242,Categories!$A:$A,0)))</f>
        <v/>
      </c>
      <c r="J242" s="4"/>
      <c r="K242" s="4"/>
      <c r="L242" s="4"/>
      <c r="M242" s="4"/>
      <c r="N242" s="4"/>
      <c r="O242" s="4"/>
      <c r="P242" s="4"/>
      <c r="Q242" s="4"/>
    </row>
    <row r="243">
      <c r="A243" s="5">
        <v>242.0</v>
      </c>
      <c r="B243" s="5" t="s">
        <v>374</v>
      </c>
      <c r="C243" s="5" t="s">
        <v>69</v>
      </c>
      <c r="D243" s="6">
        <f>IFERROR(__xludf.DUMMYFUNCTION("SPLIT(MID(C243,2,LEN(C243)-2), "","")"),293.0)</f>
        <v>293</v>
      </c>
      <c r="E243" s="7"/>
      <c r="F243" s="7"/>
      <c r="G243" s="2" t="str">
        <f t="array" ref="G243">IF(ISBLANK(D243), "", INDEX(Categories!$B:$B,MATCH(D243,Categories!$A:$A,0)))</f>
        <v>Banks Commercial</v>
      </c>
      <c r="H243" s="7" t="str">
        <f t="array" ref="H243">IF(ISBLANK(E243), "", INDEX(Categories!$B:$B,MATCH(E243,Categories!$A:$A,0)))</f>
        <v/>
      </c>
      <c r="I243" s="7" t="str">
        <f t="array" ref="I243">IF(ISBLANK(F243), "", INDEX(Categories!$B:$B,MATCH(F243,Categories!$A:$A,0)))</f>
        <v/>
      </c>
      <c r="J243" s="4"/>
      <c r="K243" s="4"/>
      <c r="L243" s="4"/>
      <c r="M243" s="4"/>
      <c r="N243" s="4"/>
      <c r="O243" s="4"/>
      <c r="P243" s="4"/>
      <c r="Q243" s="4"/>
    </row>
    <row r="244">
      <c r="A244" s="5">
        <v>243.0</v>
      </c>
      <c r="B244" s="5" t="s">
        <v>375</v>
      </c>
      <c r="C244" s="5" t="s">
        <v>34</v>
      </c>
      <c r="D244" s="6">
        <f>IFERROR(__xludf.DUMMYFUNCTION("SPLIT(MID(C244,2,LEN(C244)-2), "","")"),228.0)</f>
        <v>228</v>
      </c>
      <c r="E244" s="7"/>
      <c r="F244" s="7"/>
      <c r="G244" s="2" t="str">
        <f t="array" ref="G244">IF(ISBLANK(D244), "", INDEX(Categories!$B:$B,MATCH(D244,Categories!$A:$A,0)))</f>
        <v>Restaurants</v>
      </c>
      <c r="H244" s="7" t="str">
        <f t="array" ref="H244">IF(ISBLANK(E244), "", INDEX(Categories!$B:$B,MATCH(E244,Categories!$A:$A,0)))</f>
        <v/>
      </c>
      <c r="I244" s="7" t="str">
        <f t="array" ref="I244">IF(ISBLANK(F244), "", INDEX(Categories!$B:$B,MATCH(F244,Categories!$A:$A,0)))</f>
        <v/>
      </c>
      <c r="J244" s="4"/>
      <c r="K244" s="4"/>
      <c r="L244" s="4"/>
      <c r="M244" s="4"/>
      <c r="N244" s="4"/>
      <c r="O244" s="4"/>
      <c r="P244" s="4"/>
      <c r="Q244" s="4"/>
    </row>
    <row r="245">
      <c r="A245" s="5">
        <v>244.0</v>
      </c>
      <c r="B245" s="5" t="s">
        <v>376</v>
      </c>
      <c r="C245" s="5" t="s">
        <v>12</v>
      </c>
      <c r="D245" s="6">
        <f>IFERROR(__xludf.DUMMYFUNCTION("SPLIT(MID(C245,2,LEN(C245)-2), "","")"),469.0)</f>
        <v>469</v>
      </c>
      <c r="E245" s="7"/>
      <c r="F245" s="7"/>
      <c r="G245" s="2" t="str">
        <f t="array" ref="G245">IF(ISBLANK(D245), "", INDEX(Categories!$B:$B,MATCH(D245,Categories!$A:$A,0)))</f>
        <v>Automobile - Repairs &amp; Services</v>
      </c>
      <c r="H245" s="7" t="str">
        <f t="array" ref="H245">IF(ISBLANK(E245), "", INDEX(Categories!$B:$B,MATCH(E245,Categories!$A:$A,0)))</f>
        <v/>
      </c>
      <c r="I245" s="7" t="str">
        <f t="array" ref="I245">IF(ISBLANK(F245), "", INDEX(Categories!$B:$B,MATCH(F245,Categories!$A:$A,0)))</f>
        <v/>
      </c>
      <c r="J245" s="4"/>
      <c r="K245" s="4"/>
      <c r="L245" s="4"/>
      <c r="M245" s="4"/>
      <c r="N245" s="4"/>
      <c r="O245" s="4"/>
      <c r="P245" s="4"/>
      <c r="Q245" s="4"/>
    </row>
    <row r="246">
      <c r="A246" s="5">
        <v>245.0</v>
      </c>
      <c r="B246" s="5" t="s">
        <v>377</v>
      </c>
      <c r="C246" s="5" t="s">
        <v>378</v>
      </c>
      <c r="D246" s="6">
        <f>IFERROR(__xludf.DUMMYFUNCTION("SPLIT(MID(C246,2,LEN(C246)-2), "","")"),2755.0)</f>
        <v>2755</v>
      </c>
      <c r="E246" s="7"/>
      <c r="F246" s="7"/>
      <c r="G246" s="2" t="str">
        <f t="array" ref="G246">IF(ISBLANK(D246), "", INDEX(Categories!$B:$B,MATCH(D246,Categories!$A:$A,0)))</f>
        <v>Cable &amp; Satellite Equipment &amp; Services</v>
      </c>
      <c r="H246" s="7" t="str">
        <f t="array" ref="H246">IF(ISBLANK(E246), "", INDEX(Categories!$B:$B,MATCH(E246,Categories!$A:$A,0)))</f>
        <v/>
      </c>
      <c r="I246" s="7" t="str">
        <f t="array" ref="I246">IF(ISBLANK(F246), "", INDEX(Categories!$B:$B,MATCH(F246,Categories!$A:$A,0)))</f>
        <v/>
      </c>
      <c r="J246" s="4"/>
      <c r="K246" s="4"/>
      <c r="L246" s="4"/>
      <c r="M246" s="4"/>
      <c r="N246" s="4"/>
      <c r="O246" s="4"/>
      <c r="P246" s="4"/>
      <c r="Q246" s="4"/>
    </row>
    <row r="247">
      <c r="A247" s="5">
        <v>246.0</v>
      </c>
      <c r="B247" s="5" t="s">
        <v>379</v>
      </c>
      <c r="C247" s="5" t="s">
        <v>170</v>
      </c>
      <c r="D247" s="6">
        <f>IFERROR(__xludf.DUMMYFUNCTION("SPLIT(MID(C247,2,LEN(C247)-2), "","")"),189.0)</f>
        <v>189</v>
      </c>
      <c r="E247" s="7"/>
      <c r="F247" s="7"/>
      <c r="G247" s="2" t="str">
        <f t="array" ref="G247">IF(ISBLANK(D247), "", INDEX(Categories!$B:$B,MATCH(D247,Categories!$A:$A,0)))</f>
        <v>Pharmacies</v>
      </c>
      <c r="H247" s="7" t="str">
        <f t="array" ref="H247">IF(ISBLANK(E247), "", INDEX(Categories!$B:$B,MATCH(E247,Categories!$A:$A,0)))</f>
        <v/>
      </c>
      <c r="I247" s="7" t="str">
        <f t="array" ref="I247">IF(ISBLANK(F247), "", INDEX(Categories!$B:$B,MATCH(F247,Categories!$A:$A,0)))</f>
        <v/>
      </c>
      <c r="J247" s="4"/>
      <c r="K247" s="4"/>
      <c r="L247" s="4"/>
      <c r="M247" s="4"/>
      <c r="N247" s="4"/>
      <c r="O247" s="4"/>
      <c r="P247" s="4"/>
      <c r="Q247" s="4"/>
    </row>
    <row r="248">
      <c r="A248" s="5">
        <v>247.0</v>
      </c>
      <c r="B248" s="5" t="s">
        <v>380</v>
      </c>
      <c r="C248" s="5" t="s">
        <v>41</v>
      </c>
      <c r="D248" s="6">
        <f>IFERROR(__xludf.DUMMYFUNCTION("SPLIT(MID(C248,2,LEN(C248)-2), "","")"),93.0)</f>
        <v>93</v>
      </c>
      <c r="E248" s="7"/>
      <c r="F248" s="7"/>
      <c r="G248" s="2" t="str">
        <f t="array" ref="G248">IF(ISBLANK(D248), "", INDEX(Categories!$B:$B,MATCH(D248,Categories!$A:$A,0)))</f>
        <v>Automobile - Rentals</v>
      </c>
      <c r="H248" s="7" t="str">
        <f t="array" ref="H248">IF(ISBLANK(E248), "", INDEX(Categories!$B:$B,MATCH(E248,Categories!$A:$A,0)))</f>
        <v/>
      </c>
      <c r="I248" s="7" t="str">
        <f t="array" ref="I248">IF(ISBLANK(F248), "", INDEX(Categories!$B:$B,MATCH(F248,Categories!$A:$A,0)))</f>
        <v/>
      </c>
      <c r="J248" s="4"/>
      <c r="K248" s="4"/>
      <c r="L248" s="4"/>
      <c r="M248" s="4"/>
      <c r="N248" s="4"/>
      <c r="O248" s="4"/>
      <c r="P248" s="4"/>
      <c r="Q248" s="4"/>
    </row>
    <row r="249">
      <c r="A249" s="5">
        <v>248.0</v>
      </c>
      <c r="B249" s="5" t="s">
        <v>381</v>
      </c>
      <c r="C249" s="5" t="s">
        <v>382</v>
      </c>
      <c r="D249" s="6">
        <f>IFERROR(__xludf.DUMMYFUNCTION("SPLIT(MID(C249,2,LEN(C249)-2), "","")"),1598.0)</f>
        <v>1598</v>
      </c>
      <c r="E249" s="7"/>
      <c r="F249" s="7"/>
      <c r="G249" s="2" t="str">
        <f t="array" ref="G249">IF(ISBLANK(D249), "", INDEX(Categories!$B:$B,MATCH(D249,Categories!$A:$A,0)))</f>
        <v>Adult Care Facilities</v>
      </c>
      <c r="H249" s="7" t="str">
        <f t="array" ref="H249">IF(ISBLANK(E249), "", INDEX(Categories!$B:$B,MATCH(E249,Categories!$A:$A,0)))</f>
        <v/>
      </c>
      <c r="I249" s="7" t="str">
        <f t="array" ref="I249">IF(ISBLANK(F249), "", INDEX(Categories!$B:$B,MATCH(F249,Categories!$A:$A,0)))</f>
        <v/>
      </c>
      <c r="J249" s="4"/>
      <c r="K249" s="4"/>
      <c r="L249" s="4"/>
      <c r="M249" s="4"/>
      <c r="N249" s="4"/>
      <c r="O249" s="4"/>
      <c r="P249" s="4"/>
      <c r="Q249" s="4"/>
    </row>
    <row r="250">
      <c r="A250" s="5">
        <v>249.0</v>
      </c>
      <c r="B250" s="5" t="s">
        <v>383</v>
      </c>
      <c r="C250" s="5" t="s">
        <v>170</v>
      </c>
      <c r="D250" s="6">
        <f>IFERROR(__xludf.DUMMYFUNCTION("SPLIT(MID(C250,2,LEN(C250)-2), "","")"),189.0)</f>
        <v>189</v>
      </c>
      <c r="E250" s="7"/>
      <c r="F250" s="7"/>
      <c r="G250" s="2" t="str">
        <f t="array" ref="G250">IF(ISBLANK(D250), "", INDEX(Categories!$B:$B,MATCH(D250,Categories!$A:$A,0)))</f>
        <v>Pharmacies</v>
      </c>
      <c r="H250" s="7" t="str">
        <f t="array" ref="H250">IF(ISBLANK(E250), "", INDEX(Categories!$B:$B,MATCH(E250,Categories!$A:$A,0)))</f>
        <v/>
      </c>
      <c r="I250" s="7" t="str">
        <f t="array" ref="I250">IF(ISBLANK(F250), "", INDEX(Categories!$B:$B,MATCH(F250,Categories!$A:$A,0)))</f>
        <v/>
      </c>
      <c r="J250" s="4"/>
      <c r="K250" s="4"/>
      <c r="L250" s="4"/>
      <c r="M250" s="4"/>
      <c r="N250" s="4"/>
      <c r="O250" s="4"/>
      <c r="P250" s="4"/>
      <c r="Q250" s="4"/>
    </row>
    <row r="251">
      <c r="A251" s="5">
        <v>250.0</v>
      </c>
      <c r="B251" s="5" t="s">
        <v>384</v>
      </c>
      <c r="C251" s="5" t="s">
        <v>385</v>
      </c>
      <c r="D251" s="6">
        <f>IFERROR(__xludf.DUMMYFUNCTION("SPLIT(MID(C251,2,LEN(C251)-2), "","")"),709.0)</f>
        <v>709</v>
      </c>
      <c r="E251" s="7"/>
      <c r="F251" s="7"/>
      <c r="G251" s="2" t="str">
        <f t="array" ref="G251">IF(ISBLANK(D251), "", INDEX(Categories!$B:$B,MATCH(D251,Categories!$A:$A,0)))</f>
        <v>Photographic Equipment</v>
      </c>
      <c r="H251" s="7" t="str">
        <f t="array" ref="H251">IF(ISBLANK(E251), "", INDEX(Categories!$B:$B,MATCH(E251,Categories!$A:$A,0)))</f>
        <v/>
      </c>
      <c r="I251" s="7" t="str">
        <f t="array" ref="I251">IF(ISBLANK(F251), "", INDEX(Categories!$B:$B,MATCH(F251,Categories!$A:$A,0)))</f>
        <v/>
      </c>
      <c r="J251" s="4"/>
      <c r="K251" s="4"/>
      <c r="L251" s="4"/>
      <c r="M251" s="4"/>
      <c r="N251" s="4"/>
      <c r="O251" s="4"/>
      <c r="P251" s="4"/>
      <c r="Q251" s="4"/>
    </row>
    <row r="252">
      <c r="A252" s="5">
        <v>251.0</v>
      </c>
      <c r="B252" s="5" t="s">
        <v>386</v>
      </c>
      <c r="C252" s="5" t="s">
        <v>387</v>
      </c>
      <c r="D252" s="6">
        <f>IFERROR(__xludf.DUMMYFUNCTION("SPLIT(MID(C252,2,LEN(C252)-2), "","")"),2225.0)</f>
        <v>2225</v>
      </c>
      <c r="E252" s="7"/>
      <c r="F252" s="7"/>
      <c r="G252" s="2" t="str">
        <f t="array" ref="G252">IF(ISBLANK(D252), "", INDEX(Categories!$B:$B,MATCH(D252,Categories!$A:$A,0)))</f>
        <v>Trucking Contract Hauling</v>
      </c>
      <c r="H252" s="7" t="str">
        <f t="array" ref="H252">IF(ISBLANK(E252), "", INDEX(Categories!$B:$B,MATCH(E252,Categories!$A:$A,0)))</f>
        <v/>
      </c>
      <c r="I252" s="7" t="str">
        <f t="array" ref="I252">IF(ISBLANK(F252), "", INDEX(Categories!$B:$B,MATCH(F252,Categories!$A:$A,0)))</f>
        <v/>
      </c>
      <c r="J252" s="4"/>
      <c r="K252" s="4"/>
      <c r="L252" s="4"/>
      <c r="M252" s="4"/>
      <c r="N252" s="4"/>
      <c r="O252" s="4"/>
      <c r="P252" s="4"/>
      <c r="Q252" s="4"/>
    </row>
    <row r="253">
      <c r="A253" s="5">
        <v>252.0</v>
      </c>
      <c r="B253" s="5" t="s">
        <v>388</v>
      </c>
      <c r="C253" s="5" t="s">
        <v>34</v>
      </c>
      <c r="D253" s="6">
        <f>IFERROR(__xludf.DUMMYFUNCTION("SPLIT(MID(C253,2,LEN(C253)-2), "","")"),228.0)</f>
        <v>228</v>
      </c>
      <c r="E253" s="7"/>
      <c r="F253" s="7"/>
      <c r="G253" s="2" t="str">
        <f t="array" ref="G253">IF(ISBLANK(D253), "", INDEX(Categories!$B:$B,MATCH(D253,Categories!$A:$A,0)))</f>
        <v>Restaurants</v>
      </c>
      <c r="H253" s="7" t="str">
        <f t="array" ref="H253">IF(ISBLANK(E253), "", INDEX(Categories!$B:$B,MATCH(E253,Categories!$A:$A,0)))</f>
        <v/>
      </c>
      <c r="I253" s="7" t="str">
        <f t="array" ref="I253">IF(ISBLANK(F253), "", INDEX(Categories!$B:$B,MATCH(F253,Categories!$A:$A,0)))</f>
        <v/>
      </c>
      <c r="J253" s="4"/>
      <c r="K253" s="4"/>
      <c r="L253" s="4"/>
      <c r="M253" s="4"/>
      <c r="N253" s="4"/>
      <c r="O253" s="4"/>
      <c r="P253" s="4"/>
      <c r="Q253" s="4"/>
    </row>
    <row r="254">
      <c r="A254" s="5">
        <v>253.0</v>
      </c>
      <c r="B254" s="5" t="s">
        <v>389</v>
      </c>
      <c r="C254" s="5" t="s">
        <v>51</v>
      </c>
      <c r="D254" s="6">
        <f>IFERROR(__xludf.DUMMYFUNCTION("SPLIT(MID(C254,2,LEN(C254)-2), "","")"),608.0)</f>
        <v>608</v>
      </c>
      <c r="E254" s="7"/>
      <c r="F254" s="7"/>
      <c r="G254" s="2" t="str">
        <f t="array" ref="G254">IF(ISBLANK(D254), "", INDEX(Categories!$B:$B,MATCH(D254,Categories!$A:$A,0)))</f>
        <v>Sandwiches</v>
      </c>
      <c r="H254" s="7" t="str">
        <f t="array" ref="H254">IF(ISBLANK(E254), "", INDEX(Categories!$B:$B,MATCH(E254,Categories!$A:$A,0)))</f>
        <v/>
      </c>
      <c r="I254" s="7" t="str">
        <f t="array" ref="I254">IF(ISBLANK(F254), "", INDEX(Categories!$B:$B,MATCH(F254,Categories!$A:$A,0)))</f>
        <v/>
      </c>
      <c r="J254" s="4"/>
      <c r="K254" s="4"/>
      <c r="L254" s="4"/>
      <c r="M254" s="4"/>
      <c r="N254" s="4"/>
      <c r="O254" s="4"/>
      <c r="P254" s="4"/>
      <c r="Q254" s="4"/>
    </row>
    <row r="255">
      <c r="A255" s="5">
        <v>254.0</v>
      </c>
      <c r="B255" s="5" t="s">
        <v>390</v>
      </c>
      <c r="C255" s="5" t="s">
        <v>34</v>
      </c>
      <c r="D255" s="6">
        <f>IFERROR(__xludf.DUMMYFUNCTION("SPLIT(MID(C255,2,LEN(C255)-2), "","")"),228.0)</f>
        <v>228</v>
      </c>
      <c r="E255" s="7"/>
      <c r="F255" s="7"/>
      <c r="G255" s="2" t="str">
        <f t="array" ref="G255">IF(ISBLANK(D255), "", INDEX(Categories!$B:$B,MATCH(D255,Categories!$A:$A,0)))</f>
        <v>Restaurants</v>
      </c>
      <c r="H255" s="7" t="str">
        <f t="array" ref="H255">IF(ISBLANK(E255), "", INDEX(Categories!$B:$B,MATCH(E255,Categories!$A:$A,0)))</f>
        <v/>
      </c>
      <c r="I255" s="7" t="str">
        <f t="array" ref="I255">IF(ISBLANK(F255), "", INDEX(Categories!$B:$B,MATCH(F255,Categories!$A:$A,0)))</f>
        <v/>
      </c>
      <c r="J255" s="4"/>
      <c r="K255" s="4"/>
      <c r="L255" s="4"/>
      <c r="M255" s="4"/>
      <c r="N255" s="4"/>
      <c r="O255" s="4"/>
      <c r="P255" s="4"/>
      <c r="Q255" s="4"/>
    </row>
    <row r="256">
      <c r="A256" s="5">
        <v>255.0</v>
      </c>
      <c r="B256" s="5" t="s">
        <v>391</v>
      </c>
      <c r="C256" s="5" t="s">
        <v>392</v>
      </c>
      <c r="D256" s="6">
        <f>IFERROR(__xludf.DUMMYFUNCTION("SPLIT(MID(C256,2,LEN(C256)-2), "","")"),2556.0)</f>
        <v>2556</v>
      </c>
      <c r="E256" s="7"/>
      <c r="F256" s="7"/>
      <c r="G256" s="2" t="str">
        <f t="array" ref="G256">IF(ISBLANK(D256), "", INDEX(Categories!$B:$B,MATCH(D256,Categories!$A:$A,0)))</f>
        <v>Janitors Service</v>
      </c>
      <c r="H256" s="7" t="str">
        <f t="array" ref="H256">IF(ISBLANK(E256), "", INDEX(Categories!$B:$B,MATCH(E256,Categories!$A:$A,0)))</f>
        <v/>
      </c>
      <c r="I256" s="7" t="str">
        <f t="array" ref="I256">IF(ISBLANK(F256), "", INDEX(Categories!$B:$B,MATCH(F256,Categories!$A:$A,0)))</f>
        <v/>
      </c>
      <c r="J256" s="4"/>
      <c r="K256" s="4"/>
      <c r="L256" s="4"/>
      <c r="M256" s="4"/>
      <c r="N256" s="4"/>
      <c r="O256" s="4"/>
      <c r="P256" s="4"/>
      <c r="Q256" s="4"/>
    </row>
    <row r="257">
      <c r="A257" s="5">
        <v>256.0</v>
      </c>
      <c r="B257" s="5" t="s">
        <v>393</v>
      </c>
      <c r="C257" s="5" t="s">
        <v>18</v>
      </c>
      <c r="D257" s="6">
        <f>IFERROR(__xludf.DUMMYFUNCTION("SPLIT(MID(C257,2,LEN(C257)-2), "","")"),121.0)</f>
        <v>121</v>
      </c>
      <c r="E257" s="7"/>
      <c r="F257" s="7"/>
      <c r="G257" s="2" t="str">
        <f t="array" ref="G257">IF(ISBLANK(D257), "", INDEX(Categories!$B:$B,MATCH(D257,Categories!$A:$A,0)))</f>
        <v>Insurance</v>
      </c>
      <c r="H257" s="7" t="str">
        <f t="array" ref="H257">IF(ISBLANK(E257), "", INDEX(Categories!$B:$B,MATCH(E257,Categories!$A:$A,0)))</f>
        <v/>
      </c>
      <c r="I257" s="7" t="str">
        <f t="array" ref="I257">IF(ISBLANK(F257), "", INDEX(Categories!$B:$B,MATCH(F257,Categories!$A:$A,0)))</f>
        <v/>
      </c>
      <c r="J257" s="4"/>
      <c r="K257" s="4"/>
      <c r="L257" s="4"/>
      <c r="M257" s="4"/>
      <c r="N257" s="4"/>
      <c r="O257" s="4"/>
      <c r="P257" s="4"/>
      <c r="Q257" s="4"/>
    </row>
    <row r="258">
      <c r="A258" s="5">
        <v>257.0</v>
      </c>
      <c r="B258" s="5" t="s">
        <v>394</v>
      </c>
      <c r="C258" s="5" t="s">
        <v>395</v>
      </c>
      <c r="D258" s="6">
        <f>IFERROR(__xludf.DUMMYFUNCTION("SPLIT(MID(C258,2,LEN(C258)-2), "","")"),277.0)</f>
        <v>277</v>
      </c>
      <c r="E258" s="7"/>
      <c r="F258" s="7"/>
      <c r="G258" s="2" t="str">
        <f t="array" ref="G258">IF(ISBLANK(D258), "", INDEX(Categories!$B:$B,MATCH(D258,Categories!$A:$A,0)))</f>
        <v>Office Supplies</v>
      </c>
      <c r="H258" s="7" t="str">
        <f t="array" ref="H258">IF(ISBLANK(E258), "", INDEX(Categories!$B:$B,MATCH(E258,Categories!$A:$A,0)))</f>
        <v/>
      </c>
      <c r="I258" s="7" t="str">
        <f t="array" ref="I258">IF(ISBLANK(F258), "", INDEX(Categories!$B:$B,MATCH(F258,Categories!$A:$A,0)))</f>
        <v/>
      </c>
      <c r="J258" s="4"/>
      <c r="K258" s="4"/>
      <c r="L258" s="4"/>
      <c r="M258" s="4"/>
      <c r="N258" s="4"/>
      <c r="O258" s="4"/>
      <c r="P258" s="4"/>
      <c r="Q258" s="4"/>
    </row>
    <row r="259">
      <c r="A259" s="5">
        <v>258.0</v>
      </c>
      <c r="B259" s="5" t="s">
        <v>396</v>
      </c>
      <c r="C259" s="5" t="s">
        <v>58</v>
      </c>
      <c r="D259" s="6">
        <f>IFERROR(__xludf.DUMMYFUNCTION("SPLIT(MID(C259,2,LEN(C259)-2), "","")"),1170.0)</f>
        <v>1170</v>
      </c>
      <c r="E259" s="7"/>
      <c r="F259" s="7"/>
      <c r="G259" s="2" t="str">
        <f t="array" ref="G259">IF(ISBLANK(D259), "", INDEX(Categories!$B:$B,MATCH(D259,Categories!$A:$A,0)))</f>
        <v>Gasoline Retail</v>
      </c>
      <c r="H259" s="7" t="str">
        <f t="array" ref="H259">IF(ISBLANK(E259), "", INDEX(Categories!$B:$B,MATCH(E259,Categories!$A:$A,0)))</f>
        <v/>
      </c>
      <c r="I259" s="7" t="str">
        <f t="array" ref="I259">IF(ISBLANK(F259), "", INDEX(Categories!$B:$B,MATCH(F259,Categories!$A:$A,0)))</f>
        <v/>
      </c>
      <c r="J259" s="4"/>
      <c r="K259" s="4"/>
      <c r="L259" s="4"/>
      <c r="M259" s="4"/>
      <c r="N259" s="4"/>
      <c r="O259" s="4"/>
      <c r="P259" s="4"/>
      <c r="Q259" s="4"/>
    </row>
    <row r="260">
      <c r="A260" s="5">
        <v>259.0</v>
      </c>
      <c r="B260" s="5" t="s">
        <v>397</v>
      </c>
      <c r="C260" s="5" t="s">
        <v>205</v>
      </c>
      <c r="D260" s="6">
        <f>IFERROR(__xludf.DUMMYFUNCTION("SPLIT(MID(C260,2,LEN(C260)-2), "","")"),1384.0)</f>
        <v>1384</v>
      </c>
      <c r="E260" s="7"/>
      <c r="F260" s="7"/>
      <c r="G260" s="2" t="str">
        <f t="array" ref="G260">IF(ISBLANK(D260), "", INDEX(Categories!$B:$B,MATCH(D260,Categories!$A:$A,0)))</f>
        <v>Storage Self Service</v>
      </c>
      <c r="H260" s="7" t="str">
        <f t="array" ref="H260">IF(ISBLANK(E260), "", INDEX(Categories!$B:$B,MATCH(E260,Categories!$A:$A,0)))</f>
        <v/>
      </c>
      <c r="I260" s="7" t="str">
        <f t="array" ref="I260">IF(ISBLANK(F260), "", INDEX(Categories!$B:$B,MATCH(F260,Categories!$A:$A,0)))</f>
        <v/>
      </c>
      <c r="J260" s="4"/>
      <c r="K260" s="4"/>
      <c r="L260" s="4"/>
      <c r="M260" s="4"/>
      <c r="N260" s="4"/>
      <c r="O260" s="4"/>
      <c r="P260" s="4"/>
      <c r="Q260" s="4"/>
    </row>
    <row r="261">
      <c r="A261" s="5">
        <v>260.0</v>
      </c>
      <c r="B261" s="5" t="s">
        <v>398</v>
      </c>
      <c r="C261" s="5" t="s">
        <v>399</v>
      </c>
      <c r="D261" s="6">
        <f>IFERROR(__xludf.DUMMYFUNCTION("SPLIT(MID(C261,2,LEN(C261)-2), "","")"),844.0)</f>
        <v>844</v>
      </c>
      <c r="E261" s="7"/>
      <c r="F261" s="7"/>
      <c r="G261" s="2" t="str">
        <f t="array" ref="G261">IF(ISBLANK(D261), "", INDEX(Categories!$B:$B,MATCH(D261,Categories!$A:$A,0)))</f>
        <v>Gas Propane</v>
      </c>
      <c r="H261" s="7" t="str">
        <f t="array" ref="H261">IF(ISBLANK(E261), "", INDEX(Categories!$B:$B,MATCH(E261,Categories!$A:$A,0)))</f>
        <v/>
      </c>
      <c r="I261" s="7" t="str">
        <f t="array" ref="I261">IF(ISBLANK(F261), "", INDEX(Categories!$B:$B,MATCH(F261,Categories!$A:$A,0)))</f>
        <v/>
      </c>
      <c r="J261" s="4"/>
      <c r="K261" s="4"/>
      <c r="L261" s="4"/>
      <c r="M261" s="4"/>
      <c r="N261" s="4"/>
      <c r="O261" s="4"/>
      <c r="P261" s="4"/>
      <c r="Q261" s="4"/>
    </row>
    <row r="262">
      <c r="A262" s="5">
        <v>261.0</v>
      </c>
      <c r="B262" s="5" t="s">
        <v>400</v>
      </c>
      <c r="C262" s="5" t="s">
        <v>69</v>
      </c>
      <c r="D262" s="6">
        <f>IFERROR(__xludf.DUMMYFUNCTION("SPLIT(MID(C262,2,LEN(C262)-2), "","")"),293.0)</f>
        <v>293</v>
      </c>
      <c r="E262" s="7"/>
      <c r="F262" s="7"/>
      <c r="G262" s="2" t="str">
        <f t="array" ref="G262">IF(ISBLANK(D262), "", INDEX(Categories!$B:$B,MATCH(D262,Categories!$A:$A,0)))</f>
        <v>Banks Commercial</v>
      </c>
      <c r="H262" s="7" t="str">
        <f t="array" ref="H262">IF(ISBLANK(E262), "", INDEX(Categories!$B:$B,MATCH(E262,Categories!$A:$A,0)))</f>
        <v/>
      </c>
      <c r="I262" s="7" t="str">
        <f t="array" ref="I262">IF(ISBLANK(F262), "", INDEX(Categories!$B:$B,MATCH(F262,Categories!$A:$A,0)))</f>
        <v/>
      </c>
      <c r="J262" s="4"/>
      <c r="K262" s="4"/>
      <c r="L262" s="4"/>
      <c r="M262" s="4"/>
      <c r="N262" s="4"/>
      <c r="O262" s="4"/>
      <c r="P262" s="4"/>
      <c r="Q262" s="4"/>
    </row>
    <row r="263">
      <c r="A263" s="5">
        <v>262.0</v>
      </c>
      <c r="B263" s="5" t="s">
        <v>401</v>
      </c>
      <c r="C263" s="5" t="s">
        <v>402</v>
      </c>
      <c r="D263" s="6">
        <f>IFERROR(__xludf.DUMMYFUNCTION("SPLIT(MID(C263,2,LEN(C263)-2), "","")"),1267.0)</f>
        <v>1267</v>
      </c>
      <c r="E263" s="7"/>
      <c r="F263" s="7"/>
      <c r="G263" s="2" t="str">
        <f t="array" ref="G263">IF(ISBLANK(D263), "", INDEX(Categories!$B:$B,MATCH(D263,Categories!$A:$A,0)))</f>
        <v>Sunglasses</v>
      </c>
      <c r="H263" s="7" t="str">
        <f t="array" ref="H263">IF(ISBLANK(E263), "", INDEX(Categories!$B:$B,MATCH(E263,Categories!$A:$A,0)))</f>
        <v/>
      </c>
      <c r="I263" s="7" t="str">
        <f t="array" ref="I263">IF(ISBLANK(F263), "", INDEX(Categories!$B:$B,MATCH(F263,Categories!$A:$A,0)))</f>
        <v/>
      </c>
      <c r="J263" s="4"/>
      <c r="K263" s="4"/>
      <c r="L263" s="4"/>
      <c r="M263" s="4"/>
      <c r="N263" s="4"/>
      <c r="O263" s="4"/>
      <c r="P263" s="4"/>
      <c r="Q263" s="4"/>
    </row>
    <row r="264">
      <c r="A264" s="5">
        <v>263.0</v>
      </c>
      <c r="B264" s="5" t="s">
        <v>403</v>
      </c>
      <c r="C264" s="5" t="s">
        <v>58</v>
      </c>
      <c r="D264" s="6">
        <f>IFERROR(__xludf.DUMMYFUNCTION("SPLIT(MID(C264,2,LEN(C264)-2), "","")"),1170.0)</f>
        <v>1170</v>
      </c>
      <c r="E264" s="7"/>
      <c r="F264" s="7"/>
      <c r="G264" s="2" t="str">
        <f t="array" ref="G264">IF(ISBLANK(D264), "", INDEX(Categories!$B:$B,MATCH(D264,Categories!$A:$A,0)))</f>
        <v>Gasoline Retail</v>
      </c>
      <c r="H264" s="7" t="str">
        <f t="array" ref="H264">IF(ISBLANK(E264), "", INDEX(Categories!$B:$B,MATCH(E264,Categories!$A:$A,0)))</f>
        <v/>
      </c>
      <c r="I264" s="7" t="str">
        <f t="array" ref="I264">IF(ISBLANK(F264), "", INDEX(Categories!$B:$B,MATCH(F264,Categories!$A:$A,0)))</f>
        <v/>
      </c>
      <c r="J264" s="4"/>
      <c r="K264" s="4"/>
      <c r="L264" s="4"/>
      <c r="M264" s="4"/>
      <c r="N264" s="4"/>
      <c r="O264" s="4"/>
      <c r="P264" s="4"/>
      <c r="Q264" s="4"/>
    </row>
    <row r="265">
      <c r="A265" s="5">
        <v>264.0</v>
      </c>
      <c r="B265" s="5" t="s">
        <v>404</v>
      </c>
      <c r="C265" s="5" t="s">
        <v>139</v>
      </c>
      <c r="D265" s="6">
        <f>IFERROR(__xludf.DUMMYFUNCTION("SPLIT(MID(C265,2,LEN(C265)-2), "","")"),1617.0)</f>
        <v>1617</v>
      </c>
      <c r="E265" s="7"/>
      <c r="F265" s="7"/>
      <c r="G265" s="2" t="str">
        <f t="array" ref="G265">IF(ISBLANK(D265), "", INDEX(Categories!$B:$B,MATCH(D265,Categories!$A:$A,0)))</f>
        <v>Department Stores</v>
      </c>
      <c r="H265" s="7" t="str">
        <f t="array" ref="H265">IF(ISBLANK(E265), "", INDEX(Categories!$B:$B,MATCH(E265,Categories!$A:$A,0)))</f>
        <v/>
      </c>
      <c r="I265" s="7" t="str">
        <f t="array" ref="I265">IF(ISBLANK(F265), "", INDEX(Categories!$B:$B,MATCH(F265,Categories!$A:$A,0)))</f>
        <v/>
      </c>
      <c r="J265" s="4"/>
      <c r="K265" s="4"/>
      <c r="L265" s="4"/>
      <c r="M265" s="4"/>
      <c r="N265" s="4"/>
      <c r="O265" s="4"/>
      <c r="P265" s="4"/>
      <c r="Q265" s="4"/>
    </row>
    <row r="266">
      <c r="A266" s="5">
        <v>265.0</v>
      </c>
      <c r="B266" s="5" t="s">
        <v>405</v>
      </c>
      <c r="C266" s="5" t="s">
        <v>41</v>
      </c>
      <c r="D266" s="6">
        <f>IFERROR(__xludf.DUMMYFUNCTION("SPLIT(MID(C266,2,LEN(C266)-2), "","")"),93.0)</f>
        <v>93</v>
      </c>
      <c r="E266" s="7"/>
      <c r="F266" s="7"/>
      <c r="G266" s="2" t="str">
        <f t="array" ref="G266">IF(ISBLANK(D266), "", INDEX(Categories!$B:$B,MATCH(D266,Categories!$A:$A,0)))</f>
        <v>Automobile - Rentals</v>
      </c>
      <c r="H266" s="7" t="str">
        <f t="array" ref="H266">IF(ISBLANK(E266), "", INDEX(Categories!$B:$B,MATCH(E266,Categories!$A:$A,0)))</f>
        <v/>
      </c>
      <c r="I266" s="7" t="str">
        <f t="array" ref="I266">IF(ISBLANK(F266), "", INDEX(Categories!$B:$B,MATCH(F266,Categories!$A:$A,0)))</f>
        <v/>
      </c>
      <c r="J266" s="4"/>
      <c r="K266" s="4"/>
      <c r="L266" s="4"/>
      <c r="M266" s="4"/>
      <c r="N266" s="4"/>
      <c r="O266" s="4"/>
      <c r="P266" s="4"/>
      <c r="Q266" s="4"/>
    </row>
    <row r="267">
      <c r="A267" s="5">
        <v>266.0</v>
      </c>
      <c r="B267" s="5" t="s">
        <v>406</v>
      </c>
      <c r="C267" s="5" t="s">
        <v>221</v>
      </c>
      <c r="D267" s="6">
        <f>IFERROR(__xludf.DUMMYFUNCTION("SPLIT(MID(C267,2,LEN(C267)-2), "","")"),483.0)</f>
        <v>483</v>
      </c>
      <c r="E267" s="7"/>
      <c r="F267" s="7"/>
      <c r="G267" s="2" t="str">
        <f t="array" ref="G267">IF(ISBLANK(D267), "", INDEX(Categories!$B:$B,MATCH(D267,Categories!$A:$A,0)))</f>
        <v>Automobile Window Service &amp; Repair</v>
      </c>
      <c r="H267" s="7" t="str">
        <f t="array" ref="H267">IF(ISBLANK(E267), "", INDEX(Categories!$B:$B,MATCH(E267,Categories!$A:$A,0)))</f>
        <v/>
      </c>
      <c r="I267" s="7" t="str">
        <f t="array" ref="I267">IF(ISBLANK(F267), "", INDEX(Categories!$B:$B,MATCH(F267,Categories!$A:$A,0)))</f>
        <v/>
      </c>
      <c r="J267" s="4"/>
      <c r="K267" s="4"/>
      <c r="L267" s="4"/>
      <c r="M267" s="4"/>
      <c r="N267" s="4"/>
      <c r="O267" s="4"/>
      <c r="P267" s="4"/>
      <c r="Q267" s="4"/>
    </row>
    <row r="268">
      <c r="A268" s="5">
        <v>267.0</v>
      </c>
      <c r="B268" s="5" t="s">
        <v>407</v>
      </c>
      <c r="C268" s="5" t="s">
        <v>14</v>
      </c>
      <c r="D268" s="6">
        <f>IFERROR(__xludf.DUMMYFUNCTION("SPLIT(MID(C268,2,LEN(C268)-2), "","")"),1065.0)</f>
        <v>1065</v>
      </c>
      <c r="E268" s="7"/>
      <c r="F268" s="7"/>
      <c r="G268" s="2" t="str">
        <f t="array" ref="G268">IF(ISBLANK(D268), "", INDEX(Categories!$B:$B,MATCH(D268,Categories!$A:$A,0)))</f>
        <v>Hardware</v>
      </c>
      <c r="H268" s="7" t="str">
        <f t="array" ref="H268">IF(ISBLANK(E268), "", INDEX(Categories!$B:$B,MATCH(E268,Categories!$A:$A,0)))</f>
        <v/>
      </c>
      <c r="I268" s="7" t="str">
        <f t="array" ref="I268">IF(ISBLANK(F268), "", INDEX(Categories!$B:$B,MATCH(F268,Categories!$A:$A,0)))</f>
        <v/>
      </c>
      <c r="J268" s="4"/>
      <c r="K268" s="4"/>
      <c r="L268" s="4"/>
      <c r="M268" s="4"/>
      <c r="N268" s="4"/>
      <c r="O268" s="4"/>
      <c r="P268" s="4"/>
      <c r="Q268" s="4"/>
    </row>
    <row r="269">
      <c r="A269" s="5">
        <v>268.0</v>
      </c>
      <c r="B269" s="5" t="s">
        <v>408</v>
      </c>
      <c r="C269" s="5" t="s">
        <v>43</v>
      </c>
      <c r="D269" s="6">
        <f>IFERROR(__xludf.DUMMYFUNCTION("SPLIT(MID(C269,2,LEN(C269)-2), "","")"),292.0)</f>
        <v>292</v>
      </c>
      <c r="E269" s="7"/>
      <c r="F269" s="7"/>
      <c r="G269" s="2" t="str">
        <f t="array" ref="G269">IF(ISBLANK(D269), "", INDEX(Categories!$B:$B,MATCH(D269,Categories!$A:$A,0)))</f>
        <v>Banks</v>
      </c>
      <c r="H269" s="7" t="str">
        <f t="array" ref="H269">IF(ISBLANK(E269), "", INDEX(Categories!$B:$B,MATCH(E269,Categories!$A:$A,0)))</f>
        <v/>
      </c>
      <c r="I269" s="7" t="str">
        <f t="array" ref="I269">IF(ISBLANK(F269), "", INDEX(Categories!$B:$B,MATCH(F269,Categories!$A:$A,0)))</f>
        <v/>
      </c>
      <c r="J269" s="4"/>
      <c r="K269" s="4"/>
      <c r="L269" s="4"/>
      <c r="M269" s="4"/>
      <c r="N269" s="4"/>
      <c r="O269" s="4"/>
      <c r="P269" s="4"/>
      <c r="Q269" s="4"/>
    </row>
    <row r="270">
      <c r="A270" s="5">
        <v>269.0</v>
      </c>
      <c r="B270" s="5" t="s">
        <v>409</v>
      </c>
      <c r="C270" s="5" t="s">
        <v>41</v>
      </c>
      <c r="D270" s="6">
        <f>IFERROR(__xludf.DUMMYFUNCTION("SPLIT(MID(C270,2,LEN(C270)-2), "","")"),93.0)</f>
        <v>93</v>
      </c>
      <c r="E270" s="7"/>
      <c r="F270" s="7"/>
      <c r="G270" s="2" t="str">
        <f t="array" ref="G270">IF(ISBLANK(D270), "", INDEX(Categories!$B:$B,MATCH(D270,Categories!$A:$A,0)))</f>
        <v>Automobile - Rentals</v>
      </c>
      <c r="H270" s="7" t="str">
        <f t="array" ref="H270">IF(ISBLANK(E270), "", INDEX(Categories!$B:$B,MATCH(E270,Categories!$A:$A,0)))</f>
        <v/>
      </c>
      <c r="I270" s="7" t="str">
        <f t="array" ref="I270">IF(ISBLANK(F270), "", INDEX(Categories!$B:$B,MATCH(F270,Categories!$A:$A,0)))</f>
        <v/>
      </c>
      <c r="J270" s="4"/>
      <c r="K270" s="4"/>
      <c r="L270" s="4"/>
      <c r="M270" s="4"/>
      <c r="N270" s="4"/>
      <c r="O270" s="4"/>
      <c r="P270" s="4"/>
      <c r="Q270" s="4"/>
    </row>
    <row r="271">
      <c r="A271" s="5">
        <v>270.0</v>
      </c>
      <c r="B271" s="5" t="s">
        <v>410</v>
      </c>
      <c r="C271" s="5" t="s">
        <v>411</v>
      </c>
      <c r="D271" s="6">
        <f>IFERROR(__xludf.DUMMYFUNCTION("SPLIT(MID(C271,2,LEN(C271)-2), "","")"),1473.0)</f>
        <v>1473</v>
      </c>
      <c r="E271" s="7"/>
      <c r="F271" s="7"/>
      <c r="G271" s="2" t="str">
        <f t="array" ref="G271">IF(ISBLANK(D271), "", INDEX(Categories!$B:$B,MATCH(D271,Categories!$A:$A,0)))</f>
        <v>Car Services</v>
      </c>
      <c r="H271" s="7" t="str">
        <f t="array" ref="H271">IF(ISBLANK(E271), "", INDEX(Categories!$B:$B,MATCH(E271,Categories!$A:$A,0)))</f>
        <v/>
      </c>
      <c r="I271" s="7" t="str">
        <f t="array" ref="I271">IF(ISBLANK(F271), "", INDEX(Categories!$B:$B,MATCH(F271,Categories!$A:$A,0)))</f>
        <v/>
      </c>
      <c r="J271" s="4"/>
      <c r="K271" s="4"/>
      <c r="L271" s="4"/>
      <c r="M271" s="4"/>
      <c r="N271" s="4"/>
      <c r="O271" s="4"/>
      <c r="P271" s="4"/>
      <c r="Q271" s="4"/>
    </row>
    <row r="272">
      <c r="A272" s="5">
        <v>271.0</v>
      </c>
      <c r="B272" s="5" t="s">
        <v>412</v>
      </c>
      <c r="C272" s="5" t="s">
        <v>26</v>
      </c>
      <c r="D272" s="6">
        <f>IFERROR(__xludf.DUMMYFUNCTION("SPLIT(MID(C272,2,LEN(C272)-2), "","")"),2479.0)</f>
        <v>2479</v>
      </c>
      <c r="E272" s="7"/>
      <c r="F272" s="7"/>
      <c r="G272" s="2" t="str">
        <f t="array" ref="G272">IF(ISBLANK(D272), "", INDEX(Categories!$B:$B,MATCH(D272,Categories!$A:$A,0)))</f>
        <v>Organizations &amp; Associations</v>
      </c>
      <c r="H272" s="7" t="str">
        <f t="array" ref="H272">IF(ISBLANK(E272), "", INDEX(Categories!$B:$B,MATCH(E272,Categories!$A:$A,0)))</f>
        <v/>
      </c>
      <c r="I272" s="7" t="str">
        <f t="array" ref="I272">IF(ISBLANK(F272), "", INDEX(Categories!$B:$B,MATCH(F272,Categories!$A:$A,0)))</f>
        <v/>
      </c>
      <c r="J272" s="4"/>
      <c r="K272" s="4"/>
      <c r="L272" s="4"/>
      <c r="M272" s="4"/>
      <c r="N272" s="4"/>
      <c r="O272" s="4"/>
      <c r="P272" s="4"/>
      <c r="Q272" s="4"/>
    </row>
    <row r="273">
      <c r="A273" s="5">
        <v>272.0</v>
      </c>
      <c r="B273" s="5" t="s">
        <v>413</v>
      </c>
      <c r="C273" s="5" t="s">
        <v>32</v>
      </c>
      <c r="D273" s="6">
        <f>IFERROR(__xludf.DUMMYFUNCTION("SPLIT(MID(C273,2,LEN(C273)-2), "","")"),2631.0)</f>
        <v>2631</v>
      </c>
      <c r="E273" s="7"/>
      <c r="F273" s="7"/>
      <c r="G273" s="2" t="str">
        <f t="array" ref="G273">IF(ISBLANK(D273), "", INDEX(Categories!$B:$B,MATCH(D273,Categories!$A:$A,0)))</f>
        <v>Housewares &amp; Home Decor</v>
      </c>
      <c r="H273" s="7" t="str">
        <f t="array" ref="H273">IF(ISBLANK(E273), "", INDEX(Categories!$B:$B,MATCH(E273,Categories!$A:$A,0)))</f>
        <v/>
      </c>
      <c r="I273" s="7" t="str">
        <f t="array" ref="I273">IF(ISBLANK(F273), "", INDEX(Categories!$B:$B,MATCH(F273,Categories!$A:$A,0)))</f>
        <v/>
      </c>
      <c r="J273" s="4"/>
      <c r="K273" s="4"/>
      <c r="L273" s="4"/>
      <c r="M273" s="4"/>
      <c r="N273" s="4"/>
      <c r="O273" s="4"/>
      <c r="P273" s="4"/>
      <c r="Q273" s="4"/>
    </row>
    <row r="274">
      <c r="A274" s="5">
        <v>273.0</v>
      </c>
      <c r="B274" s="5" t="s">
        <v>414</v>
      </c>
      <c r="C274" s="5" t="s">
        <v>58</v>
      </c>
      <c r="D274" s="6">
        <f>IFERROR(__xludf.DUMMYFUNCTION("SPLIT(MID(C274,2,LEN(C274)-2), "","")"),1170.0)</f>
        <v>1170</v>
      </c>
      <c r="E274" s="7"/>
      <c r="F274" s="7"/>
      <c r="G274" s="2" t="str">
        <f t="array" ref="G274">IF(ISBLANK(D274), "", INDEX(Categories!$B:$B,MATCH(D274,Categories!$A:$A,0)))</f>
        <v>Gasoline Retail</v>
      </c>
      <c r="H274" s="7" t="str">
        <f t="array" ref="H274">IF(ISBLANK(E274), "", INDEX(Categories!$B:$B,MATCH(E274,Categories!$A:$A,0)))</f>
        <v/>
      </c>
      <c r="I274" s="7" t="str">
        <f t="array" ref="I274">IF(ISBLANK(F274), "", INDEX(Categories!$B:$B,MATCH(F274,Categories!$A:$A,0)))</f>
        <v/>
      </c>
      <c r="J274" s="4"/>
      <c r="K274" s="4"/>
      <c r="L274" s="4"/>
      <c r="M274" s="4"/>
      <c r="N274" s="4"/>
      <c r="O274" s="4"/>
      <c r="P274" s="4"/>
      <c r="Q274" s="4"/>
    </row>
    <row r="275">
      <c r="A275" s="5">
        <v>274.0</v>
      </c>
      <c r="B275" s="5" t="s">
        <v>415</v>
      </c>
      <c r="C275" s="5" t="s">
        <v>96</v>
      </c>
      <c r="D275" s="6">
        <f>IFERROR(__xludf.DUMMYFUNCTION("SPLIT(MID(C275,2,LEN(C275)-2), "","")"),572.0)</f>
        <v>572</v>
      </c>
      <c r="E275" s="7"/>
      <c r="F275" s="7"/>
      <c r="G275" s="2" t="str">
        <f t="array" ref="G275">IF(ISBLANK(D275), "", INDEX(Categories!$B:$B,MATCH(D275,Categories!$A:$A,0)))</f>
        <v>Groceries</v>
      </c>
      <c r="H275" s="7" t="str">
        <f t="array" ref="H275">IF(ISBLANK(E275), "", INDEX(Categories!$B:$B,MATCH(E275,Categories!$A:$A,0)))</f>
        <v/>
      </c>
      <c r="I275" s="7" t="str">
        <f t="array" ref="I275">IF(ISBLANK(F275), "", INDEX(Categories!$B:$B,MATCH(F275,Categories!$A:$A,0)))</f>
        <v/>
      </c>
      <c r="J275" s="4"/>
      <c r="K275" s="4"/>
      <c r="L275" s="4"/>
      <c r="M275" s="4"/>
      <c r="N275" s="4"/>
      <c r="O275" s="4"/>
      <c r="P275" s="4"/>
      <c r="Q275" s="4"/>
    </row>
    <row r="276">
      <c r="A276" s="5">
        <v>275.0</v>
      </c>
      <c r="B276" s="5" t="s">
        <v>416</v>
      </c>
      <c r="C276" s="5" t="s">
        <v>102</v>
      </c>
      <c r="D276" s="6">
        <f>IFERROR(__xludf.DUMMYFUNCTION("SPLIT(MID(C276,2,LEN(C276)-2), "","")"),298.0)</f>
        <v>298</v>
      </c>
      <c r="E276" s="7"/>
      <c r="F276" s="7"/>
      <c r="G276" s="2" t="str">
        <f t="array" ref="G276">IF(ISBLANK(D276), "", INDEX(Categories!$B:$B,MATCH(D276,Categories!$A:$A,0)))</f>
        <v>Financial Services</v>
      </c>
      <c r="H276" s="7" t="str">
        <f t="array" ref="H276">IF(ISBLANK(E276), "", INDEX(Categories!$B:$B,MATCH(E276,Categories!$A:$A,0)))</f>
        <v/>
      </c>
      <c r="I276" s="7" t="str">
        <f t="array" ref="I276">IF(ISBLANK(F276), "", INDEX(Categories!$B:$B,MATCH(F276,Categories!$A:$A,0)))</f>
        <v/>
      </c>
      <c r="J276" s="4"/>
      <c r="K276" s="4"/>
      <c r="L276" s="4"/>
      <c r="M276" s="4"/>
      <c r="N276" s="4"/>
      <c r="O276" s="4"/>
      <c r="P276" s="4"/>
      <c r="Q276" s="4"/>
    </row>
    <row r="277">
      <c r="A277" s="5">
        <v>276.0</v>
      </c>
      <c r="B277" s="5" t="s">
        <v>417</v>
      </c>
      <c r="C277" s="5" t="s">
        <v>387</v>
      </c>
      <c r="D277" s="6">
        <f>IFERROR(__xludf.DUMMYFUNCTION("SPLIT(MID(C277,2,LEN(C277)-2), "","")"),2225.0)</f>
        <v>2225</v>
      </c>
      <c r="E277" s="7"/>
      <c r="F277" s="7"/>
      <c r="G277" s="2" t="str">
        <f t="array" ref="G277">IF(ISBLANK(D277), "", INDEX(Categories!$B:$B,MATCH(D277,Categories!$A:$A,0)))</f>
        <v>Trucking Contract Hauling</v>
      </c>
      <c r="H277" s="7" t="str">
        <f t="array" ref="H277">IF(ISBLANK(E277), "", INDEX(Categories!$B:$B,MATCH(E277,Categories!$A:$A,0)))</f>
        <v/>
      </c>
      <c r="I277" s="7" t="str">
        <f t="array" ref="I277">IF(ISBLANK(F277), "", INDEX(Categories!$B:$B,MATCH(F277,Categories!$A:$A,0)))</f>
        <v/>
      </c>
      <c r="J277" s="4"/>
      <c r="K277" s="4"/>
      <c r="L277" s="4"/>
      <c r="M277" s="4"/>
      <c r="N277" s="4"/>
      <c r="O277" s="4"/>
      <c r="P277" s="4"/>
      <c r="Q277" s="4"/>
    </row>
    <row r="278">
      <c r="A278" s="5">
        <v>277.0</v>
      </c>
      <c r="B278" s="5" t="s">
        <v>418</v>
      </c>
      <c r="C278" s="5" t="s">
        <v>69</v>
      </c>
      <c r="D278" s="6">
        <f>IFERROR(__xludf.DUMMYFUNCTION("SPLIT(MID(C278,2,LEN(C278)-2), "","")"),293.0)</f>
        <v>293</v>
      </c>
      <c r="E278" s="7"/>
      <c r="F278" s="7"/>
      <c r="G278" s="2" t="str">
        <f t="array" ref="G278">IF(ISBLANK(D278), "", INDEX(Categories!$B:$B,MATCH(D278,Categories!$A:$A,0)))</f>
        <v>Banks Commercial</v>
      </c>
      <c r="H278" s="7" t="str">
        <f t="array" ref="H278">IF(ISBLANK(E278), "", INDEX(Categories!$B:$B,MATCH(E278,Categories!$A:$A,0)))</f>
        <v/>
      </c>
      <c r="I278" s="7" t="str">
        <f t="array" ref="I278">IF(ISBLANK(F278), "", INDEX(Categories!$B:$B,MATCH(F278,Categories!$A:$A,0)))</f>
        <v/>
      </c>
      <c r="J278" s="4"/>
      <c r="K278" s="4"/>
      <c r="L278" s="4"/>
      <c r="M278" s="4"/>
      <c r="N278" s="4"/>
      <c r="O278" s="4"/>
      <c r="P278" s="4"/>
      <c r="Q278" s="4"/>
    </row>
    <row r="279">
      <c r="A279" s="5">
        <v>278.0</v>
      </c>
      <c r="B279" s="5" t="s">
        <v>419</v>
      </c>
      <c r="C279" s="5" t="s">
        <v>420</v>
      </c>
      <c r="D279" s="6">
        <f>IFERROR(__xludf.DUMMYFUNCTION("SPLIT(MID(C279,2,LEN(C279)-2), "","")"),705.0)</f>
        <v>705</v>
      </c>
      <c r="E279" s="7"/>
      <c r="F279" s="7"/>
      <c r="G279" s="2" t="str">
        <f t="array" ref="G279">IF(ISBLANK(D279), "", INDEX(Categories!$B:$B,MATCH(D279,Categories!$A:$A,0)))</f>
        <v>Wireless Communications</v>
      </c>
      <c r="H279" s="7" t="str">
        <f t="array" ref="H279">IF(ISBLANK(E279), "", INDEX(Categories!$B:$B,MATCH(E279,Categories!$A:$A,0)))</f>
        <v/>
      </c>
      <c r="I279" s="7" t="str">
        <f t="array" ref="I279">IF(ISBLANK(F279), "", INDEX(Categories!$B:$B,MATCH(F279,Categories!$A:$A,0)))</f>
        <v/>
      </c>
      <c r="J279" s="4"/>
      <c r="K279" s="4"/>
      <c r="L279" s="4"/>
      <c r="M279" s="4"/>
      <c r="N279" s="4"/>
      <c r="O279" s="4"/>
      <c r="P279" s="4"/>
      <c r="Q279" s="4"/>
    </row>
    <row r="280">
      <c r="A280" s="5">
        <v>279.0</v>
      </c>
      <c r="B280" s="5" t="s">
        <v>421</v>
      </c>
      <c r="C280" s="5" t="s">
        <v>300</v>
      </c>
      <c r="D280" s="6">
        <f>IFERROR(__xludf.DUMMYFUNCTION("SPLIT(MID(C280,2,LEN(C280)-2), "","")"),1105.0)</f>
        <v>1105</v>
      </c>
      <c r="E280" s="7"/>
      <c r="F280" s="7"/>
      <c r="G280" s="2" t="str">
        <f t="array" ref="G280">IF(ISBLANK(D280), "", INDEX(Categories!$B:$B,MATCH(D280,Categories!$A:$A,0)))</f>
        <v>Travel &amp; Tourism</v>
      </c>
      <c r="H280" s="7" t="str">
        <f t="array" ref="H280">IF(ISBLANK(E280), "", INDEX(Categories!$B:$B,MATCH(E280,Categories!$A:$A,0)))</f>
        <v/>
      </c>
      <c r="I280" s="7" t="str">
        <f t="array" ref="I280">IF(ISBLANK(F280), "", INDEX(Categories!$B:$B,MATCH(F280,Categories!$A:$A,0)))</f>
        <v/>
      </c>
      <c r="J280" s="4"/>
      <c r="K280" s="4"/>
      <c r="L280" s="4"/>
      <c r="M280" s="4"/>
      <c r="N280" s="4"/>
      <c r="O280" s="4"/>
      <c r="P280" s="4"/>
      <c r="Q280" s="4"/>
    </row>
    <row r="281">
      <c r="A281" s="5">
        <v>280.0</v>
      </c>
      <c r="B281" s="5" t="s">
        <v>422</v>
      </c>
      <c r="C281" s="5" t="s">
        <v>423</v>
      </c>
      <c r="D281" s="6">
        <f>IFERROR(__xludf.DUMMYFUNCTION("SPLIT(MID(C281,2,LEN(C281)-2), "","")"),1079.0)</f>
        <v>1079</v>
      </c>
      <c r="E281" s="7"/>
      <c r="F281" s="7"/>
      <c r="G281" s="2" t="str">
        <f t="array" ref="G281">IF(ISBLANK(D281), "", INDEX(Categories!$B:$B,MATCH(D281,Categories!$A:$A,0)))</f>
        <v>Rental Service Stores &amp; Yards</v>
      </c>
      <c r="H281" s="7" t="str">
        <f t="array" ref="H281">IF(ISBLANK(E281), "", INDEX(Categories!$B:$B,MATCH(E281,Categories!$A:$A,0)))</f>
        <v/>
      </c>
      <c r="I281" s="7" t="str">
        <f t="array" ref="I281">IF(ISBLANK(F281), "", INDEX(Categories!$B:$B,MATCH(F281,Categories!$A:$A,0)))</f>
        <v/>
      </c>
      <c r="J281" s="4"/>
      <c r="K281" s="4"/>
      <c r="L281" s="4"/>
      <c r="M281" s="4"/>
      <c r="N281" s="4"/>
      <c r="O281" s="4"/>
      <c r="P281" s="4"/>
      <c r="Q281" s="4"/>
    </row>
    <row r="282">
      <c r="A282" s="5">
        <v>281.0</v>
      </c>
      <c r="B282" s="5" t="s">
        <v>424</v>
      </c>
      <c r="C282" s="5" t="s">
        <v>425</v>
      </c>
      <c r="D282" s="6">
        <f>IFERROR(__xludf.DUMMYFUNCTION("SPLIT(MID(C282,2,LEN(C282)-2), "","")"),1174.0)</f>
        <v>1174</v>
      </c>
      <c r="E282" s="7"/>
      <c r="F282" s="7"/>
      <c r="G282" s="2" t="str">
        <f t="array" ref="G282">IF(ISBLANK(D282), "", INDEX(Categories!$B:$B,MATCH(D282,Categories!$A:$A,0)))</f>
        <v>Cargo &amp; Freight Services</v>
      </c>
      <c r="H282" s="7" t="str">
        <f t="array" ref="H282">IF(ISBLANK(E282), "", INDEX(Categories!$B:$B,MATCH(E282,Categories!$A:$A,0)))</f>
        <v/>
      </c>
      <c r="I282" s="7" t="str">
        <f t="array" ref="I282">IF(ISBLANK(F282), "", INDEX(Categories!$B:$B,MATCH(F282,Categories!$A:$A,0)))</f>
        <v/>
      </c>
      <c r="J282" s="4"/>
      <c r="K282" s="4"/>
      <c r="L282" s="4"/>
      <c r="M282" s="4"/>
      <c r="N282" s="4"/>
      <c r="O282" s="4"/>
      <c r="P282" s="4"/>
      <c r="Q282" s="4"/>
    </row>
    <row r="283">
      <c r="A283" s="5">
        <v>282.0</v>
      </c>
      <c r="B283" s="5" t="s">
        <v>426</v>
      </c>
      <c r="C283" s="5" t="s">
        <v>346</v>
      </c>
      <c r="D283" s="6">
        <f>IFERROR(__xludf.DUMMYFUNCTION("SPLIT(MID(C283,2,LEN(C283)-2), "","")"),610.0)</f>
        <v>610</v>
      </c>
      <c r="E283" s="7"/>
      <c r="F283" s="7"/>
      <c r="G283" s="2" t="str">
        <f t="array" ref="G283">IF(ISBLANK(D283), "", INDEX(Categories!$B:$B,MATCH(D283,Categories!$A:$A,0)))</f>
        <v>Supermarkets &amp; Super Stores</v>
      </c>
      <c r="H283" s="7" t="str">
        <f t="array" ref="H283">IF(ISBLANK(E283), "", INDEX(Categories!$B:$B,MATCH(E283,Categories!$A:$A,0)))</f>
        <v/>
      </c>
      <c r="I283" s="7" t="str">
        <f t="array" ref="I283">IF(ISBLANK(F283), "", INDEX(Categories!$B:$B,MATCH(F283,Categories!$A:$A,0)))</f>
        <v/>
      </c>
      <c r="J283" s="4"/>
      <c r="K283" s="4"/>
      <c r="L283" s="4"/>
      <c r="M283" s="4"/>
      <c r="N283" s="4"/>
      <c r="O283" s="4"/>
      <c r="P283" s="4"/>
      <c r="Q283" s="4"/>
    </row>
    <row r="284">
      <c r="A284" s="5">
        <v>283.0</v>
      </c>
      <c r="B284" s="5" t="s">
        <v>427</v>
      </c>
      <c r="C284" s="5" t="s">
        <v>428</v>
      </c>
      <c r="D284" s="6">
        <f>IFERROR(__xludf.DUMMYFUNCTION("SPLIT(MID(C284,2,LEN(C284)-2), "","")"),558.0)</f>
        <v>558</v>
      </c>
      <c r="E284" s="7"/>
      <c r="F284" s="7"/>
      <c r="G284" s="2" t="str">
        <f t="array" ref="G284">IF(ISBLANK(D284), "", INDEX(Categories!$B:$B,MATCH(D284,Categories!$A:$A,0)))</f>
        <v>Employment Agencies</v>
      </c>
      <c r="H284" s="7" t="str">
        <f t="array" ref="H284">IF(ISBLANK(E284), "", INDEX(Categories!$B:$B,MATCH(E284,Categories!$A:$A,0)))</f>
        <v/>
      </c>
      <c r="I284" s="7" t="str">
        <f t="array" ref="I284">IF(ISBLANK(F284), "", INDEX(Categories!$B:$B,MATCH(F284,Categories!$A:$A,0)))</f>
        <v/>
      </c>
      <c r="J284" s="4"/>
      <c r="K284" s="4"/>
      <c r="L284" s="4"/>
      <c r="M284" s="4"/>
      <c r="N284" s="4"/>
      <c r="O284" s="4"/>
      <c r="P284" s="4"/>
      <c r="Q284" s="4"/>
    </row>
    <row r="285">
      <c r="A285" s="5">
        <v>284.0</v>
      </c>
      <c r="B285" s="5" t="s">
        <v>429</v>
      </c>
      <c r="C285" s="5" t="s">
        <v>425</v>
      </c>
      <c r="D285" s="6">
        <f>IFERROR(__xludf.DUMMYFUNCTION("SPLIT(MID(C285,2,LEN(C285)-2), "","")"),1174.0)</f>
        <v>1174</v>
      </c>
      <c r="E285" s="7"/>
      <c r="F285" s="7"/>
      <c r="G285" s="2" t="str">
        <f t="array" ref="G285">IF(ISBLANK(D285), "", INDEX(Categories!$B:$B,MATCH(D285,Categories!$A:$A,0)))</f>
        <v>Cargo &amp; Freight Services</v>
      </c>
      <c r="H285" s="7" t="str">
        <f t="array" ref="H285">IF(ISBLANK(E285), "", INDEX(Categories!$B:$B,MATCH(E285,Categories!$A:$A,0)))</f>
        <v/>
      </c>
      <c r="I285" s="7" t="str">
        <f t="array" ref="I285">IF(ISBLANK(F285), "", INDEX(Categories!$B:$B,MATCH(F285,Categories!$A:$A,0)))</f>
        <v/>
      </c>
      <c r="J285" s="4"/>
      <c r="K285" s="4"/>
      <c r="L285" s="4"/>
      <c r="M285" s="4"/>
      <c r="N285" s="4"/>
      <c r="O285" s="4"/>
      <c r="P285" s="4"/>
      <c r="Q285" s="4"/>
    </row>
    <row r="286">
      <c r="A286" s="5">
        <v>285.0</v>
      </c>
      <c r="B286" s="5" t="s">
        <v>430</v>
      </c>
      <c r="C286" s="5" t="s">
        <v>18</v>
      </c>
      <c r="D286" s="6">
        <f>IFERROR(__xludf.DUMMYFUNCTION("SPLIT(MID(C286,2,LEN(C286)-2), "","")"),121.0)</f>
        <v>121</v>
      </c>
      <c r="E286" s="7"/>
      <c r="F286" s="7"/>
      <c r="G286" s="2" t="str">
        <f t="array" ref="G286">IF(ISBLANK(D286), "", INDEX(Categories!$B:$B,MATCH(D286,Categories!$A:$A,0)))</f>
        <v>Insurance</v>
      </c>
      <c r="H286" s="7" t="str">
        <f t="array" ref="H286">IF(ISBLANK(E286), "", INDEX(Categories!$B:$B,MATCH(E286,Categories!$A:$A,0)))</f>
        <v/>
      </c>
      <c r="I286" s="7" t="str">
        <f t="array" ref="I286">IF(ISBLANK(F286), "", INDEX(Categories!$B:$B,MATCH(F286,Categories!$A:$A,0)))</f>
        <v/>
      </c>
      <c r="J286" s="4"/>
      <c r="K286" s="4"/>
      <c r="L286" s="4"/>
      <c r="M286" s="4"/>
      <c r="N286" s="4"/>
      <c r="O286" s="4"/>
      <c r="P286" s="4"/>
      <c r="Q286" s="4"/>
    </row>
    <row r="287">
      <c r="A287" s="5">
        <v>286.0</v>
      </c>
      <c r="B287" s="5" t="s">
        <v>431</v>
      </c>
      <c r="C287" s="5" t="s">
        <v>432</v>
      </c>
      <c r="D287" s="6">
        <f>IFERROR(__xludf.DUMMYFUNCTION("SPLIT(MID(C287,2,LEN(C287)-2), "","")"),1292.0)</f>
        <v>1292</v>
      </c>
      <c r="E287" s="7"/>
      <c r="F287" s="7"/>
      <c r="G287" s="2" t="str">
        <f t="array" ref="G287">IF(ISBLANK(D287), "", INDEX(Categories!$B:$B,MATCH(D287,Categories!$A:$A,0)))</f>
        <v>Gas Industrial Medical Etc Cylinder &amp; Bulk</v>
      </c>
      <c r="H287" s="7" t="str">
        <f t="array" ref="H287">IF(ISBLANK(E287), "", INDEX(Categories!$B:$B,MATCH(E287,Categories!$A:$A,0)))</f>
        <v/>
      </c>
      <c r="I287" s="7" t="str">
        <f t="array" ref="I287">IF(ISBLANK(F287), "", INDEX(Categories!$B:$B,MATCH(F287,Categories!$A:$A,0)))</f>
        <v/>
      </c>
      <c r="J287" s="4"/>
      <c r="K287" s="4"/>
      <c r="L287" s="4"/>
      <c r="M287" s="4"/>
      <c r="N287" s="4"/>
      <c r="O287" s="4"/>
      <c r="P287" s="4"/>
      <c r="Q287" s="4"/>
    </row>
    <row r="288">
      <c r="A288" s="5">
        <v>287.0</v>
      </c>
      <c r="B288" s="5" t="s">
        <v>433</v>
      </c>
      <c r="C288" s="5" t="s">
        <v>432</v>
      </c>
      <c r="D288" s="6">
        <f>IFERROR(__xludf.DUMMYFUNCTION("SPLIT(MID(C288,2,LEN(C288)-2), "","")"),1292.0)</f>
        <v>1292</v>
      </c>
      <c r="E288" s="7"/>
      <c r="F288" s="7"/>
      <c r="G288" s="2" t="str">
        <f t="array" ref="G288">IF(ISBLANK(D288), "", INDEX(Categories!$B:$B,MATCH(D288,Categories!$A:$A,0)))</f>
        <v>Gas Industrial Medical Etc Cylinder &amp; Bulk</v>
      </c>
      <c r="H288" s="7" t="str">
        <f t="array" ref="H288">IF(ISBLANK(E288), "", INDEX(Categories!$B:$B,MATCH(E288,Categories!$A:$A,0)))</f>
        <v/>
      </c>
      <c r="I288" s="7" t="str">
        <f t="array" ref="I288">IF(ISBLANK(F288), "", INDEX(Categories!$B:$B,MATCH(F288,Categories!$A:$A,0)))</f>
        <v/>
      </c>
      <c r="J288" s="4"/>
      <c r="K288" s="4"/>
      <c r="L288" s="4"/>
      <c r="M288" s="4"/>
      <c r="N288" s="4"/>
      <c r="O288" s="4"/>
      <c r="P288" s="4"/>
      <c r="Q288" s="4"/>
    </row>
    <row r="289">
      <c r="A289" s="5">
        <v>288.0</v>
      </c>
      <c r="B289" s="5" t="s">
        <v>434</v>
      </c>
      <c r="C289" s="5" t="s">
        <v>20</v>
      </c>
      <c r="D289" s="6">
        <f>IFERROR(__xludf.DUMMYFUNCTION("SPLIT(MID(C289,2,LEN(C289)-2), "","")"),1213.0)</f>
        <v>1213</v>
      </c>
      <c r="E289" s="7"/>
      <c r="F289" s="7"/>
      <c r="G289" s="2" t="str">
        <f t="array" ref="G289">IF(ISBLANK(D289), "", INDEX(Categories!$B:$B,MATCH(D289,Categories!$A:$A,0)))</f>
        <v>Social Service Organizations</v>
      </c>
      <c r="H289" s="7" t="str">
        <f t="array" ref="H289">IF(ISBLANK(E289), "", INDEX(Categories!$B:$B,MATCH(E289,Categories!$A:$A,0)))</f>
        <v/>
      </c>
      <c r="I289" s="7" t="str">
        <f t="array" ref="I289">IF(ISBLANK(F289), "", INDEX(Categories!$B:$B,MATCH(F289,Categories!$A:$A,0)))</f>
        <v/>
      </c>
      <c r="J289" s="4"/>
      <c r="K289" s="4"/>
      <c r="L289" s="4"/>
      <c r="M289" s="4"/>
      <c r="N289" s="4"/>
      <c r="O289" s="4"/>
      <c r="P289" s="4"/>
      <c r="Q289" s="4"/>
    </row>
    <row r="290">
      <c r="A290" s="5">
        <v>289.0</v>
      </c>
      <c r="B290" s="5" t="s">
        <v>435</v>
      </c>
      <c r="C290" s="5" t="s">
        <v>145</v>
      </c>
      <c r="D290" s="6">
        <f>IFERROR(__xludf.DUMMYFUNCTION("SPLIT(MID(C290,2,LEN(C290)-2), "","")"),476.0)</f>
        <v>476</v>
      </c>
      <c r="E290" s="7"/>
      <c r="F290" s="7"/>
      <c r="G290" s="2" t="str">
        <f t="array" ref="G290">IF(ISBLANK(D290), "", INDEX(Categories!$B:$B,MATCH(D290,Categories!$A:$A,0)))</f>
        <v>Automobile Oil &amp; Lubrication Services</v>
      </c>
      <c r="H290" s="7" t="str">
        <f t="array" ref="H290">IF(ISBLANK(E290), "", INDEX(Categories!$B:$B,MATCH(E290,Categories!$A:$A,0)))</f>
        <v/>
      </c>
      <c r="I290" s="7" t="str">
        <f t="array" ref="I290">IF(ISBLANK(F290), "", INDEX(Categories!$B:$B,MATCH(F290,Categories!$A:$A,0)))</f>
        <v/>
      </c>
      <c r="J290" s="4"/>
      <c r="K290" s="4"/>
      <c r="L290" s="4"/>
      <c r="M290" s="4"/>
      <c r="N290" s="4"/>
      <c r="O290" s="4"/>
      <c r="P290" s="4"/>
      <c r="Q290" s="4"/>
    </row>
    <row r="291">
      <c r="A291" s="5">
        <v>290.0</v>
      </c>
      <c r="B291" s="5" t="s">
        <v>436</v>
      </c>
      <c r="C291" s="5" t="s">
        <v>303</v>
      </c>
      <c r="D291" s="6">
        <f>IFERROR(__xludf.DUMMYFUNCTION("SPLIT(MID(C291,2,LEN(C291)-2), "","")"),1241.0)</f>
        <v>1241</v>
      </c>
      <c r="E291" s="7"/>
      <c r="F291" s="7"/>
      <c r="G291" s="2" t="str">
        <f t="array" ref="G291">IF(ISBLANK(D291), "", INDEX(Categories!$B:$B,MATCH(D291,Categories!$A:$A,0)))</f>
        <v>Clothing &amp; Accessories</v>
      </c>
      <c r="H291" s="7" t="str">
        <f t="array" ref="H291">IF(ISBLANK(E291), "", INDEX(Categories!$B:$B,MATCH(E291,Categories!$A:$A,0)))</f>
        <v/>
      </c>
      <c r="I291" s="7" t="str">
        <f t="array" ref="I291">IF(ISBLANK(F291), "", INDEX(Categories!$B:$B,MATCH(F291,Categories!$A:$A,0)))</f>
        <v/>
      </c>
      <c r="J291" s="4"/>
      <c r="K291" s="4"/>
      <c r="L291" s="4"/>
      <c r="M291" s="4"/>
      <c r="N291" s="4"/>
      <c r="O291" s="4"/>
      <c r="P291" s="4"/>
      <c r="Q291" s="4"/>
    </row>
    <row r="292">
      <c r="A292" s="5">
        <v>291.0</v>
      </c>
      <c r="B292" s="5" t="s">
        <v>437</v>
      </c>
      <c r="C292" s="5" t="s">
        <v>18</v>
      </c>
      <c r="D292" s="6">
        <f>IFERROR(__xludf.DUMMYFUNCTION("SPLIT(MID(C292,2,LEN(C292)-2), "","")"),121.0)</f>
        <v>121</v>
      </c>
      <c r="E292" s="7"/>
      <c r="F292" s="7"/>
      <c r="G292" s="2" t="str">
        <f t="array" ref="G292">IF(ISBLANK(D292), "", INDEX(Categories!$B:$B,MATCH(D292,Categories!$A:$A,0)))</f>
        <v>Insurance</v>
      </c>
      <c r="H292" s="7" t="str">
        <f t="array" ref="H292">IF(ISBLANK(E292), "", INDEX(Categories!$B:$B,MATCH(E292,Categories!$A:$A,0)))</f>
        <v/>
      </c>
      <c r="I292" s="7" t="str">
        <f t="array" ref="I292">IF(ISBLANK(F292), "", INDEX(Categories!$B:$B,MATCH(F292,Categories!$A:$A,0)))</f>
        <v/>
      </c>
      <c r="J292" s="4"/>
      <c r="K292" s="4"/>
      <c r="L292" s="4"/>
      <c r="M292" s="4"/>
      <c r="N292" s="4"/>
      <c r="O292" s="4"/>
      <c r="P292" s="4"/>
      <c r="Q292" s="4"/>
    </row>
    <row r="293">
      <c r="A293" s="5">
        <v>292.0</v>
      </c>
      <c r="B293" s="5" t="s">
        <v>438</v>
      </c>
      <c r="C293" s="5" t="s">
        <v>439</v>
      </c>
      <c r="D293" s="6">
        <f>IFERROR(__xludf.DUMMYFUNCTION("SPLIT(MID(C293,2,LEN(C293)-2), "","")"),2482.0)</f>
        <v>2482</v>
      </c>
      <c r="E293" s="7"/>
      <c r="F293" s="7"/>
      <c r="G293" s="2" t="str">
        <f t="array" ref="G293">IF(ISBLANK(D293), "", INDEX(Categories!$B:$B,MATCH(D293,Categories!$A:$A,0)))</f>
        <v>Associations Health</v>
      </c>
      <c r="H293" s="7" t="str">
        <f t="array" ref="H293">IF(ISBLANK(E293), "", INDEX(Categories!$B:$B,MATCH(E293,Categories!$A:$A,0)))</f>
        <v/>
      </c>
      <c r="I293" s="7" t="str">
        <f t="array" ref="I293">IF(ISBLANK(F293), "", INDEX(Categories!$B:$B,MATCH(F293,Categories!$A:$A,0)))</f>
        <v/>
      </c>
      <c r="J293" s="4"/>
      <c r="K293" s="4"/>
      <c r="L293" s="4"/>
      <c r="M293" s="4"/>
      <c r="N293" s="4"/>
      <c r="O293" s="4"/>
      <c r="P293" s="4"/>
      <c r="Q293" s="4"/>
    </row>
    <row r="294">
      <c r="A294" s="5">
        <v>293.0</v>
      </c>
      <c r="B294" s="5" t="s">
        <v>440</v>
      </c>
      <c r="C294" s="5" t="s">
        <v>441</v>
      </c>
      <c r="D294" s="6">
        <f>IFERROR(__xludf.DUMMYFUNCTION("SPLIT(MID(C294,2,LEN(C294)-2), "","")"),1289.0)</f>
        <v>1289</v>
      </c>
      <c r="E294" s="7"/>
      <c r="F294" s="7"/>
      <c r="G294" s="2" t="str">
        <f t="array" ref="G294">IF(ISBLANK(D294), "", INDEX(Categories!$B:$B,MATCH(D294,Categories!$A:$A,0)))</f>
        <v>Medical Equipment &amp; Supplies</v>
      </c>
      <c r="H294" s="7" t="str">
        <f t="array" ref="H294">IF(ISBLANK(E294), "", INDEX(Categories!$B:$B,MATCH(E294,Categories!$A:$A,0)))</f>
        <v/>
      </c>
      <c r="I294" s="7" t="str">
        <f t="array" ref="I294">IF(ISBLANK(F294), "", INDEX(Categories!$B:$B,MATCH(F294,Categories!$A:$A,0)))</f>
        <v/>
      </c>
      <c r="J294" s="4"/>
      <c r="K294" s="4"/>
      <c r="L294" s="4"/>
      <c r="M294" s="4"/>
      <c r="N294" s="4"/>
      <c r="O294" s="4"/>
      <c r="P294" s="4"/>
      <c r="Q294" s="4"/>
    </row>
    <row r="295">
      <c r="A295" s="5">
        <v>294.0</v>
      </c>
      <c r="B295" s="5" t="s">
        <v>442</v>
      </c>
      <c r="C295" s="5" t="s">
        <v>443</v>
      </c>
      <c r="D295" s="6">
        <f>IFERROR(__xludf.DUMMYFUNCTION("SPLIT(MID(C295,2,LEN(C295)-2), "","")"),1712.0)</f>
        <v>1712</v>
      </c>
      <c r="E295" s="7"/>
      <c r="F295" s="7"/>
      <c r="G295" s="2" t="str">
        <f t="array" ref="G295">IF(ISBLANK(D295), "", INDEX(Categories!$B:$B,MATCH(D295,Categories!$A:$A,0)))</f>
        <v>Ambulance Service</v>
      </c>
      <c r="H295" s="7" t="str">
        <f t="array" ref="H295">IF(ISBLANK(E295), "", INDEX(Categories!$B:$B,MATCH(E295,Categories!$A:$A,0)))</f>
        <v/>
      </c>
      <c r="I295" s="7" t="str">
        <f t="array" ref="I295">IF(ISBLANK(F295), "", INDEX(Categories!$B:$B,MATCH(F295,Categories!$A:$A,0)))</f>
        <v/>
      </c>
      <c r="J295" s="4"/>
      <c r="K295" s="4"/>
      <c r="L295" s="4"/>
      <c r="M295" s="4"/>
      <c r="N295" s="4"/>
      <c r="O295" s="4"/>
      <c r="P295" s="4"/>
      <c r="Q295" s="4"/>
    </row>
    <row r="296">
      <c r="A296" s="5">
        <v>295.0</v>
      </c>
      <c r="B296" s="5" t="s">
        <v>444</v>
      </c>
      <c r="C296" s="5" t="s">
        <v>18</v>
      </c>
      <c r="D296" s="6">
        <f>IFERROR(__xludf.DUMMYFUNCTION("SPLIT(MID(C296,2,LEN(C296)-2), "","")"),121.0)</f>
        <v>121</v>
      </c>
      <c r="E296" s="7"/>
      <c r="F296" s="7"/>
      <c r="G296" s="2" t="str">
        <f t="array" ref="G296">IF(ISBLANK(D296), "", INDEX(Categories!$B:$B,MATCH(D296,Categories!$A:$A,0)))</f>
        <v>Insurance</v>
      </c>
      <c r="H296" s="7" t="str">
        <f t="array" ref="H296">IF(ISBLANK(E296), "", INDEX(Categories!$B:$B,MATCH(E296,Categories!$A:$A,0)))</f>
        <v/>
      </c>
      <c r="I296" s="7" t="str">
        <f t="array" ref="I296">IF(ISBLANK(F296), "", INDEX(Categories!$B:$B,MATCH(F296,Categories!$A:$A,0)))</f>
        <v/>
      </c>
      <c r="J296" s="4"/>
      <c r="K296" s="4"/>
      <c r="L296" s="4"/>
      <c r="M296" s="4"/>
      <c r="N296" s="4"/>
      <c r="O296" s="4"/>
      <c r="P296" s="4"/>
      <c r="Q296" s="4"/>
    </row>
    <row r="297">
      <c r="A297" s="5">
        <v>296.0</v>
      </c>
      <c r="B297" s="5" t="s">
        <v>445</v>
      </c>
      <c r="C297" s="5" t="s">
        <v>179</v>
      </c>
      <c r="D297" s="6">
        <f>IFERROR(__xludf.DUMMYFUNCTION("SPLIT(MID(C297,2,LEN(C297)-2), "","")"),2247.0)</f>
        <v>2247</v>
      </c>
      <c r="E297" s="7"/>
      <c r="F297" s="7"/>
      <c r="G297" s="2" t="str">
        <f t="array" ref="G297">IF(ISBLANK(D297), "", INDEX(Categories!$B:$B,MATCH(D297,Categories!$A:$A,0)))</f>
        <v>Copying &amp; Duplicating Service</v>
      </c>
      <c r="H297" s="7" t="str">
        <f t="array" ref="H297">IF(ISBLANK(E297), "", INDEX(Categories!$B:$B,MATCH(E297,Categories!$A:$A,0)))</f>
        <v/>
      </c>
      <c r="I297" s="7" t="str">
        <f t="array" ref="I297">IF(ISBLANK(F297), "", INDEX(Categories!$B:$B,MATCH(F297,Categories!$A:$A,0)))</f>
        <v/>
      </c>
      <c r="J297" s="4"/>
      <c r="K297" s="4"/>
      <c r="L297" s="4"/>
      <c r="M297" s="4"/>
      <c r="N297" s="4"/>
      <c r="O297" s="4"/>
      <c r="P297" s="4"/>
      <c r="Q297" s="4"/>
    </row>
    <row r="298">
      <c r="A298" s="5">
        <v>297.0</v>
      </c>
      <c r="B298" s="5" t="s">
        <v>446</v>
      </c>
      <c r="C298" s="5" t="s">
        <v>58</v>
      </c>
      <c r="D298" s="6">
        <f>IFERROR(__xludf.DUMMYFUNCTION("SPLIT(MID(C298,2,LEN(C298)-2), "","")"),1170.0)</f>
        <v>1170</v>
      </c>
      <c r="E298" s="7"/>
      <c r="F298" s="7"/>
      <c r="G298" s="2" t="str">
        <f t="array" ref="G298">IF(ISBLANK(D298), "", INDEX(Categories!$B:$B,MATCH(D298,Categories!$A:$A,0)))</f>
        <v>Gasoline Retail</v>
      </c>
      <c r="H298" s="7" t="str">
        <f t="array" ref="H298">IF(ISBLANK(E298), "", INDEX(Categories!$B:$B,MATCH(E298,Categories!$A:$A,0)))</f>
        <v/>
      </c>
      <c r="I298" s="7" t="str">
        <f t="array" ref="I298">IF(ISBLANK(F298), "", INDEX(Categories!$B:$B,MATCH(F298,Categories!$A:$A,0)))</f>
        <v/>
      </c>
      <c r="J298" s="4"/>
      <c r="K298" s="4"/>
      <c r="L298" s="4"/>
      <c r="M298" s="4"/>
      <c r="N298" s="4"/>
      <c r="O298" s="4"/>
      <c r="P298" s="4"/>
      <c r="Q298" s="4"/>
    </row>
    <row r="299">
      <c r="A299" s="5">
        <v>298.0</v>
      </c>
      <c r="B299" s="5" t="s">
        <v>447</v>
      </c>
      <c r="C299" s="5" t="s">
        <v>448</v>
      </c>
      <c r="D299" s="6">
        <f>IFERROR(__xludf.DUMMYFUNCTION("SPLIT(MID(C299,2,LEN(C299)-2), "","")"),1995.0)</f>
        <v>1995</v>
      </c>
      <c r="E299" s="7"/>
      <c r="F299" s="7"/>
      <c r="G299" s="2" t="str">
        <f t="array" ref="G299">IF(ISBLANK(D299), "", INDEX(Categories!$B:$B,MATCH(D299,Categories!$A:$A,0)))</f>
        <v>Parking Facilities</v>
      </c>
      <c r="H299" s="7" t="str">
        <f t="array" ref="H299">IF(ISBLANK(E299), "", INDEX(Categories!$B:$B,MATCH(E299,Categories!$A:$A,0)))</f>
        <v/>
      </c>
      <c r="I299" s="7" t="str">
        <f t="array" ref="I299">IF(ISBLANK(F299), "", INDEX(Categories!$B:$B,MATCH(F299,Categories!$A:$A,0)))</f>
        <v/>
      </c>
      <c r="J299" s="4"/>
      <c r="K299" s="4"/>
      <c r="L299" s="4"/>
      <c r="M299" s="4"/>
      <c r="N299" s="4"/>
      <c r="O299" s="4"/>
      <c r="P299" s="4"/>
      <c r="Q299" s="4"/>
    </row>
    <row r="300">
      <c r="A300" s="5">
        <v>299.0</v>
      </c>
      <c r="B300" s="5" t="s">
        <v>449</v>
      </c>
      <c r="C300" s="5" t="s">
        <v>69</v>
      </c>
      <c r="D300" s="6">
        <f>IFERROR(__xludf.DUMMYFUNCTION("SPLIT(MID(C300,2,LEN(C300)-2), "","")"),293.0)</f>
        <v>293</v>
      </c>
      <c r="E300" s="7"/>
      <c r="F300" s="7"/>
      <c r="G300" s="2" t="str">
        <f t="array" ref="G300">IF(ISBLANK(D300), "", INDEX(Categories!$B:$B,MATCH(D300,Categories!$A:$A,0)))</f>
        <v>Banks Commercial</v>
      </c>
      <c r="H300" s="7" t="str">
        <f t="array" ref="H300">IF(ISBLANK(E300), "", INDEX(Categories!$B:$B,MATCH(E300,Categories!$A:$A,0)))</f>
        <v/>
      </c>
      <c r="I300" s="7" t="str">
        <f t="array" ref="I300">IF(ISBLANK(F300), "", INDEX(Categories!$B:$B,MATCH(F300,Categories!$A:$A,0)))</f>
        <v/>
      </c>
      <c r="J300" s="4"/>
      <c r="K300" s="4"/>
      <c r="L300" s="4"/>
      <c r="M300" s="4"/>
      <c r="N300" s="4"/>
      <c r="O300" s="4"/>
      <c r="P300" s="4"/>
      <c r="Q300" s="4"/>
    </row>
    <row r="301">
      <c r="A301" s="5">
        <v>300.0</v>
      </c>
      <c r="B301" s="5" t="s">
        <v>450</v>
      </c>
      <c r="C301" s="5" t="s">
        <v>451</v>
      </c>
      <c r="D301" s="6">
        <f>IFERROR(__xludf.DUMMYFUNCTION("SPLIT(MID(C301,2,LEN(C301)-2), "","")"),2192.0)</f>
        <v>2192</v>
      </c>
      <c r="E301" s="7"/>
      <c r="F301" s="7"/>
      <c r="G301" s="2" t="str">
        <f t="array" ref="G301">IF(ISBLANK(D301), "", INDEX(Categories!$B:$B,MATCH(D301,Categories!$A:$A,0)))</f>
        <v>Industrial Equipment &amp; Supplies</v>
      </c>
      <c r="H301" s="7" t="str">
        <f t="array" ref="H301">IF(ISBLANK(E301), "", INDEX(Categories!$B:$B,MATCH(E301,Categories!$A:$A,0)))</f>
        <v/>
      </c>
      <c r="I301" s="7" t="str">
        <f t="array" ref="I301">IF(ISBLANK(F301), "", INDEX(Categories!$B:$B,MATCH(F301,Categories!$A:$A,0)))</f>
        <v/>
      </c>
      <c r="J301" s="4"/>
      <c r="K301" s="4"/>
      <c r="L301" s="4"/>
      <c r="M301" s="4"/>
      <c r="N301" s="4"/>
      <c r="O301" s="4"/>
      <c r="P301" s="4"/>
      <c r="Q301" s="4"/>
    </row>
    <row r="302">
      <c r="A302" s="5">
        <v>301.0</v>
      </c>
      <c r="B302" s="5" t="s">
        <v>452</v>
      </c>
      <c r="C302" s="5" t="s">
        <v>453</v>
      </c>
      <c r="D302" s="6">
        <f>IFERROR(__xludf.DUMMYFUNCTION("SPLIT(MID(C302,2,LEN(C302)-2), "","")"),1449.0)</f>
        <v>1449</v>
      </c>
      <c r="E302" s="7"/>
      <c r="F302" s="7"/>
      <c r="G302" s="2" t="str">
        <f t="array" ref="G302">IF(ISBLANK(D302), "", INDEX(Categories!$B:$B,MATCH(D302,Categories!$A:$A,0)))</f>
        <v>Uniform Supply Service</v>
      </c>
      <c r="H302" s="7" t="str">
        <f t="array" ref="H302">IF(ISBLANK(E302), "", INDEX(Categories!$B:$B,MATCH(E302,Categories!$A:$A,0)))</f>
        <v/>
      </c>
      <c r="I302" s="7" t="str">
        <f t="array" ref="I302">IF(ISBLANK(F302), "", INDEX(Categories!$B:$B,MATCH(F302,Categories!$A:$A,0)))</f>
        <v/>
      </c>
      <c r="J302" s="4"/>
      <c r="K302" s="4"/>
      <c r="L302" s="4"/>
      <c r="M302" s="4"/>
      <c r="N302" s="4"/>
      <c r="O302" s="4"/>
      <c r="P302" s="4"/>
      <c r="Q302" s="4"/>
    </row>
    <row r="303">
      <c r="A303" s="5">
        <v>302.0</v>
      </c>
      <c r="B303" s="5" t="s">
        <v>454</v>
      </c>
      <c r="C303" s="5" t="s">
        <v>455</v>
      </c>
      <c r="D303" s="6">
        <f>IFERROR(__xludf.DUMMYFUNCTION("SPLIT(MID(C303,2,LEN(C303)-2), "","")"),985.0)</f>
        <v>985</v>
      </c>
      <c r="E303" s="7"/>
      <c r="F303" s="7"/>
      <c r="G303" s="2" t="str">
        <f t="array" ref="G303">IF(ISBLANK(D303), "", INDEX(Categories!$B:$B,MATCH(D303,Categories!$A:$A,0)))</f>
        <v>Paging Equipment &amp; Service</v>
      </c>
      <c r="H303" s="7" t="str">
        <f t="array" ref="H303">IF(ISBLANK(E303), "", INDEX(Categories!$B:$B,MATCH(E303,Categories!$A:$A,0)))</f>
        <v/>
      </c>
      <c r="I303" s="7" t="str">
        <f t="array" ref="I303">IF(ISBLANK(F303), "", INDEX(Categories!$B:$B,MATCH(F303,Categories!$A:$A,0)))</f>
        <v/>
      </c>
      <c r="J303" s="4"/>
      <c r="K303" s="4"/>
      <c r="L303" s="4"/>
      <c r="M303" s="4"/>
      <c r="N303" s="4"/>
      <c r="O303" s="4"/>
      <c r="P303" s="4"/>
      <c r="Q303" s="4"/>
    </row>
    <row r="304">
      <c r="A304" s="5">
        <v>303.0</v>
      </c>
      <c r="B304" s="5" t="s">
        <v>456</v>
      </c>
      <c r="C304" s="5" t="s">
        <v>457</v>
      </c>
      <c r="D304" s="6">
        <f>IFERROR(__xludf.DUMMYFUNCTION("SPLIT(MID(C304,2,LEN(C304)-2), "","")"),775.0)</f>
        <v>775</v>
      </c>
      <c r="E304" s="7"/>
      <c r="F304" s="7"/>
      <c r="G304" s="2" t="str">
        <f t="array" ref="G304">IF(ISBLANK(D304), "", INDEX(Categories!$B:$B,MATCH(D304,Categories!$A:$A,0)))</f>
        <v>News Service</v>
      </c>
      <c r="H304" s="7" t="str">
        <f t="array" ref="H304">IF(ISBLANK(E304), "", INDEX(Categories!$B:$B,MATCH(E304,Categories!$A:$A,0)))</f>
        <v/>
      </c>
      <c r="I304" s="7" t="str">
        <f t="array" ref="I304">IF(ISBLANK(F304), "", INDEX(Categories!$B:$B,MATCH(F304,Categories!$A:$A,0)))</f>
        <v/>
      </c>
      <c r="J304" s="4"/>
      <c r="K304" s="4"/>
      <c r="L304" s="4"/>
      <c r="M304" s="4"/>
      <c r="N304" s="4"/>
      <c r="O304" s="4"/>
      <c r="P304" s="4"/>
      <c r="Q304" s="4"/>
    </row>
    <row r="305">
      <c r="A305" s="5">
        <v>304.0</v>
      </c>
      <c r="B305" s="5" t="s">
        <v>458</v>
      </c>
      <c r="C305" s="5" t="s">
        <v>188</v>
      </c>
      <c r="D305" s="6">
        <f>IFERROR(__xludf.DUMMYFUNCTION("SPLIT(MID(C305,2,LEN(C305)-2), "","")"),534.0)</f>
        <v>534</v>
      </c>
      <c r="E305" s="7"/>
      <c r="F305" s="7"/>
      <c r="G305" s="2" t="str">
        <f t="array" ref="G305">IF(ISBLANK(D305), "", INDEX(Categories!$B:$B,MATCH(D305,Categories!$A:$A,0)))</f>
        <v>Moving Services</v>
      </c>
      <c r="H305" s="7" t="str">
        <f t="array" ref="H305">IF(ISBLANK(E305), "", INDEX(Categories!$B:$B,MATCH(E305,Categories!$A:$A,0)))</f>
        <v/>
      </c>
      <c r="I305" s="7" t="str">
        <f t="array" ref="I305">IF(ISBLANK(F305), "", INDEX(Categories!$B:$B,MATCH(F305,Categories!$A:$A,0)))</f>
        <v/>
      </c>
      <c r="J305" s="4"/>
      <c r="K305" s="4"/>
      <c r="L305" s="4"/>
      <c r="M305" s="4"/>
      <c r="N305" s="4"/>
      <c r="O305" s="4"/>
      <c r="P305" s="4"/>
      <c r="Q305" s="4"/>
    </row>
    <row r="306">
      <c r="A306" s="5">
        <v>305.0</v>
      </c>
      <c r="B306" s="5" t="s">
        <v>459</v>
      </c>
      <c r="C306" s="5" t="s">
        <v>460</v>
      </c>
      <c r="D306" s="6">
        <f>IFERROR(__xludf.DUMMYFUNCTION("SPLIT(MID(C306,2,LEN(C306)-2), "","")"),605.0)</f>
        <v>605</v>
      </c>
      <c r="E306" s="7"/>
      <c r="F306" s="7"/>
      <c r="G306" s="2" t="str">
        <f t="array" ref="G306">IF(ISBLANK(D306), "", INDEX(Categories!$B:$B,MATCH(D306,Categories!$A:$A,0)))</f>
        <v>Pretzels Retail</v>
      </c>
      <c r="H306" s="7" t="str">
        <f t="array" ref="H306">IF(ISBLANK(E306), "", INDEX(Categories!$B:$B,MATCH(E306,Categories!$A:$A,0)))</f>
        <v/>
      </c>
      <c r="I306" s="7" t="str">
        <f t="array" ref="I306">IF(ISBLANK(F306), "", INDEX(Categories!$B:$B,MATCH(F306,Categories!$A:$A,0)))</f>
        <v/>
      </c>
      <c r="J306" s="4"/>
      <c r="K306" s="4"/>
      <c r="L306" s="4"/>
      <c r="M306" s="4"/>
      <c r="N306" s="4"/>
      <c r="O306" s="4"/>
      <c r="P306" s="4"/>
      <c r="Q306" s="4"/>
    </row>
    <row r="307">
      <c r="A307" s="5">
        <v>306.0</v>
      </c>
      <c r="B307" s="5" t="s">
        <v>461</v>
      </c>
      <c r="C307" s="5" t="s">
        <v>47</v>
      </c>
      <c r="D307" s="6">
        <f>IFERROR(__xludf.DUMMYFUNCTION("SPLIT(MID(C307,2,LEN(C307)-2), "","")"),546.0)</f>
        <v>546</v>
      </c>
      <c r="E307" s="7"/>
      <c r="F307" s="7"/>
      <c r="G307" s="2" t="str">
        <f t="array" ref="G307">IF(ISBLANK(D307), "", INDEX(Categories!$B:$B,MATCH(D307,Categories!$A:$A,0)))</f>
        <v>Cosmetics &amp; Perfumes Retail</v>
      </c>
      <c r="H307" s="7" t="str">
        <f t="array" ref="H307">IF(ISBLANK(E307), "", INDEX(Categories!$B:$B,MATCH(E307,Categories!$A:$A,0)))</f>
        <v/>
      </c>
      <c r="I307" s="7" t="str">
        <f t="array" ref="I307">IF(ISBLANK(F307), "", INDEX(Categories!$B:$B,MATCH(F307,Categories!$A:$A,0)))</f>
        <v/>
      </c>
      <c r="J307" s="4"/>
      <c r="K307" s="4"/>
      <c r="L307" s="4"/>
      <c r="M307" s="4"/>
      <c r="N307" s="4"/>
      <c r="O307" s="4"/>
      <c r="P307" s="4"/>
      <c r="Q307" s="4"/>
    </row>
    <row r="308">
      <c r="A308" s="5">
        <v>307.0</v>
      </c>
      <c r="B308" s="5" t="s">
        <v>462</v>
      </c>
      <c r="C308" s="5" t="s">
        <v>463</v>
      </c>
      <c r="D308" s="6">
        <f>IFERROR(__xludf.DUMMYFUNCTION("SPLIT(MID(C308,2,LEN(C308)-2), "","")"),2604.0)</f>
        <v>2604</v>
      </c>
      <c r="E308" s="7"/>
      <c r="F308" s="7"/>
      <c r="G308" s="2" t="str">
        <f t="array" ref="G308">IF(ISBLANK(D308), "", INDEX(Categories!$B:$B,MATCH(D308,Categories!$A:$A,0)))</f>
        <v>Health Clubs</v>
      </c>
      <c r="H308" s="7" t="str">
        <f t="array" ref="H308">IF(ISBLANK(E308), "", INDEX(Categories!$B:$B,MATCH(E308,Categories!$A:$A,0)))</f>
        <v/>
      </c>
      <c r="I308" s="7" t="str">
        <f t="array" ref="I308">IF(ISBLANK(F308), "", INDEX(Categories!$B:$B,MATCH(F308,Categories!$A:$A,0)))</f>
        <v/>
      </c>
      <c r="J308" s="4"/>
      <c r="K308" s="4"/>
      <c r="L308" s="4"/>
      <c r="M308" s="4"/>
      <c r="N308" s="4"/>
      <c r="O308" s="4"/>
      <c r="P308" s="4"/>
      <c r="Q308" s="4"/>
    </row>
    <row r="309">
      <c r="A309" s="5">
        <v>308.0</v>
      </c>
      <c r="B309" s="5" t="s">
        <v>464</v>
      </c>
      <c r="C309" s="5" t="s">
        <v>121</v>
      </c>
      <c r="D309" s="6">
        <f>IFERROR(__xludf.DUMMYFUNCTION("SPLIT(MID(C309,2,LEN(C309)-2), "","")"),1261.0)</f>
        <v>1261</v>
      </c>
      <c r="E309" s="7"/>
      <c r="F309" s="7"/>
      <c r="G309" s="2" t="str">
        <f t="array" ref="G309">IF(ISBLANK(D309), "", INDEX(Categories!$B:$B,MATCH(D309,Categories!$A:$A,0)))</f>
        <v>Mens Clothing &amp; Furnishings</v>
      </c>
      <c r="H309" s="7" t="str">
        <f t="array" ref="H309">IF(ISBLANK(E309), "", INDEX(Categories!$B:$B,MATCH(E309,Categories!$A:$A,0)))</f>
        <v/>
      </c>
      <c r="I309" s="7" t="str">
        <f t="array" ref="I309">IF(ISBLANK(F309), "", INDEX(Categories!$B:$B,MATCH(F309,Categories!$A:$A,0)))</f>
        <v/>
      </c>
      <c r="J309" s="4"/>
      <c r="K309" s="4"/>
      <c r="L309" s="4"/>
      <c r="M309" s="4"/>
      <c r="N309" s="4"/>
      <c r="O309" s="4"/>
      <c r="P309" s="4"/>
      <c r="Q309" s="4"/>
    </row>
    <row r="310">
      <c r="A310" s="5">
        <v>309.0</v>
      </c>
      <c r="B310" s="5" t="s">
        <v>465</v>
      </c>
      <c r="C310" s="5" t="s">
        <v>43</v>
      </c>
      <c r="D310" s="6">
        <f>IFERROR(__xludf.DUMMYFUNCTION("SPLIT(MID(C310,2,LEN(C310)-2), "","")"),292.0)</f>
        <v>292</v>
      </c>
      <c r="E310" s="7"/>
      <c r="F310" s="7"/>
      <c r="G310" s="2" t="str">
        <f t="array" ref="G310">IF(ISBLANK(D310), "", INDEX(Categories!$B:$B,MATCH(D310,Categories!$A:$A,0)))</f>
        <v>Banks</v>
      </c>
      <c r="H310" s="7" t="str">
        <f t="array" ref="H310">IF(ISBLANK(E310), "", INDEX(Categories!$B:$B,MATCH(E310,Categories!$A:$A,0)))</f>
        <v/>
      </c>
      <c r="I310" s="7" t="str">
        <f t="array" ref="I310">IF(ISBLANK(F310), "", INDEX(Categories!$B:$B,MATCH(F310,Categories!$A:$A,0)))</f>
        <v/>
      </c>
      <c r="J310" s="4"/>
      <c r="K310" s="4"/>
      <c r="L310" s="4"/>
      <c r="M310" s="4"/>
      <c r="N310" s="4"/>
      <c r="O310" s="4"/>
      <c r="P310" s="4"/>
      <c r="Q310" s="4"/>
    </row>
    <row r="311">
      <c r="A311" s="5">
        <v>310.0</v>
      </c>
      <c r="B311" s="5" t="s">
        <v>466</v>
      </c>
      <c r="C311" s="5" t="s">
        <v>18</v>
      </c>
      <c r="D311" s="6">
        <f>IFERROR(__xludf.DUMMYFUNCTION("SPLIT(MID(C311,2,LEN(C311)-2), "","")"),121.0)</f>
        <v>121</v>
      </c>
      <c r="E311" s="7"/>
      <c r="F311" s="7"/>
      <c r="G311" s="2" t="str">
        <f t="array" ref="G311">IF(ISBLANK(D311), "", INDEX(Categories!$B:$B,MATCH(D311,Categories!$A:$A,0)))</f>
        <v>Insurance</v>
      </c>
      <c r="H311" s="7" t="str">
        <f t="array" ref="H311">IF(ISBLANK(E311), "", INDEX(Categories!$B:$B,MATCH(E311,Categories!$A:$A,0)))</f>
        <v/>
      </c>
      <c r="I311" s="7" t="str">
        <f t="array" ref="I311">IF(ISBLANK(F311), "", INDEX(Categories!$B:$B,MATCH(F311,Categories!$A:$A,0)))</f>
        <v/>
      </c>
      <c r="J311" s="4"/>
      <c r="K311" s="4"/>
      <c r="L311" s="4"/>
      <c r="M311" s="4"/>
      <c r="N311" s="4"/>
      <c r="O311" s="4"/>
      <c r="P311" s="4"/>
      <c r="Q311" s="4"/>
    </row>
    <row r="312">
      <c r="A312" s="5">
        <v>311.0</v>
      </c>
      <c r="B312" s="5" t="s">
        <v>467</v>
      </c>
      <c r="C312" s="5" t="s">
        <v>303</v>
      </c>
      <c r="D312" s="6">
        <f>IFERROR(__xludf.DUMMYFUNCTION("SPLIT(MID(C312,2,LEN(C312)-2), "","")"),1241.0)</f>
        <v>1241</v>
      </c>
      <c r="E312" s="7"/>
      <c r="F312" s="7"/>
      <c r="G312" s="2" t="str">
        <f t="array" ref="G312">IF(ISBLANK(D312), "", INDEX(Categories!$B:$B,MATCH(D312,Categories!$A:$A,0)))</f>
        <v>Clothing &amp; Accessories</v>
      </c>
      <c r="H312" s="7" t="str">
        <f t="array" ref="H312">IF(ISBLANK(E312), "", INDEX(Categories!$B:$B,MATCH(E312,Categories!$A:$A,0)))</f>
        <v/>
      </c>
      <c r="I312" s="7" t="str">
        <f t="array" ref="I312">IF(ISBLANK(F312), "", INDEX(Categories!$B:$B,MATCH(F312,Categories!$A:$A,0)))</f>
        <v/>
      </c>
      <c r="J312" s="4"/>
      <c r="K312" s="4"/>
      <c r="L312" s="4"/>
      <c r="M312" s="4"/>
      <c r="N312" s="4"/>
      <c r="O312" s="4"/>
      <c r="P312" s="4"/>
      <c r="Q312" s="4"/>
    </row>
    <row r="313">
      <c r="A313" s="5">
        <v>312.0</v>
      </c>
      <c r="B313" s="5" t="s">
        <v>468</v>
      </c>
      <c r="C313" s="5" t="s">
        <v>188</v>
      </c>
      <c r="D313" s="6">
        <f>IFERROR(__xludf.DUMMYFUNCTION("SPLIT(MID(C313,2,LEN(C313)-2), "","")"),534.0)</f>
        <v>534</v>
      </c>
      <c r="E313" s="7"/>
      <c r="F313" s="7"/>
      <c r="G313" s="2" t="str">
        <f t="array" ref="G313">IF(ISBLANK(D313), "", INDEX(Categories!$B:$B,MATCH(D313,Categories!$A:$A,0)))</f>
        <v>Moving Services</v>
      </c>
      <c r="H313" s="7" t="str">
        <f t="array" ref="H313">IF(ISBLANK(E313), "", INDEX(Categories!$B:$B,MATCH(E313,Categories!$A:$A,0)))</f>
        <v/>
      </c>
      <c r="I313" s="7" t="str">
        <f t="array" ref="I313">IF(ISBLANK(F313), "", INDEX(Categories!$B:$B,MATCH(F313,Categories!$A:$A,0)))</f>
        <v/>
      </c>
      <c r="J313" s="4"/>
      <c r="K313" s="4"/>
      <c r="L313" s="4"/>
      <c r="M313" s="4"/>
      <c r="N313" s="4"/>
      <c r="O313" s="4"/>
      <c r="P313" s="4"/>
      <c r="Q313" s="4"/>
    </row>
    <row r="314">
      <c r="A314" s="5">
        <v>313.0</v>
      </c>
      <c r="B314" s="5" t="s">
        <v>469</v>
      </c>
      <c r="C314" s="5" t="s">
        <v>368</v>
      </c>
      <c r="D314" s="6">
        <f>IFERROR(__xludf.DUMMYFUNCTION("SPLIT(MID(C314,2,LEN(C314)-2), "","")"),1000.0)</f>
        <v>1000</v>
      </c>
      <c r="E314" s="7"/>
      <c r="F314" s="7"/>
      <c r="G314" s="2" t="str">
        <f t="array" ref="G314">IF(ISBLANK(D314), "", INDEX(Categories!$B:$B,MATCH(D314,Categories!$A:$A,0)))</f>
        <v>Telephone Companies</v>
      </c>
      <c r="H314" s="7" t="str">
        <f t="array" ref="H314">IF(ISBLANK(E314), "", INDEX(Categories!$B:$B,MATCH(E314,Categories!$A:$A,0)))</f>
        <v/>
      </c>
      <c r="I314" s="7" t="str">
        <f t="array" ref="I314">IF(ISBLANK(F314), "", INDEX(Categories!$B:$B,MATCH(F314,Categories!$A:$A,0)))</f>
        <v/>
      </c>
      <c r="J314" s="4"/>
      <c r="K314" s="4"/>
      <c r="L314" s="4"/>
      <c r="M314" s="4"/>
      <c r="N314" s="4"/>
      <c r="O314" s="4"/>
      <c r="P314" s="4"/>
      <c r="Q314" s="4"/>
    </row>
    <row r="315">
      <c r="A315" s="5">
        <v>314.0</v>
      </c>
      <c r="B315" s="5" t="s">
        <v>470</v>
      </c>
      <c r="C315" s="5" t="s">
        <v>368</v>
      </c>
      <c r="D315" s="6">
        <f>IFERROR(__xludf.DUMMYFUNCTION("SPLIT(MID(C315,2,LEN(C315)-2), "","")"),1000.0)</f>
        <v>1000</v>
      </c>
      <c r="E315" s="7"/>
      <c r="F315" s="7"/>
      <c r="G315" s="2" t="str">
        <f t="array" ref="G315">IF(ISBLANK(D315), "", INDEX(Categories!$B:$B,MATCH(D315,Categories!$A:$A,0)))</f>
        <v>Telephone Companies</v>
      </c>
      <c r="H315" s="7" t="str">
        <f t="array" ref="H315">IF(ISBLANK(E315), "", INDEX(Categories!$B:$B,MATCH(E315,Categories!$A:$A,0)))</f>
        <v/>
      </c>
      <c r="I315" s="7" t="str">
        <f t="array" ref="I315">IF(ISBLANK(F315), "", INDEX(Categories!$B:$B,MATCH(F315,Categories!$A:$A,0)))</f>
        <v/>
      </c>
      <c r="J315" s="4"/>
      <c r="K315" s="4"/>
      <c r="L315" s="4"/>
      <c r="M315" s="4"/>
      <c r="N315" s="4"/>
      <c r="O315" s="4"/>
      <c r="P315" s="4"/>
      <c r="Q315" s="4"/>
    </row>
    <row r="316">
      <c r="A316" s="5">
        <v>315.0</v>
      </c>
      <c r="B316" s="5" t="s">
        <v>471</v>
      </c>
      <c r="C316" s="5" t="s">
        <v>295</v>
      </c>
      <c r="D316" s="6">
        <f>IFERROR(__xludf.DUMMYFUNCTION("SPLIT(MID(C316,2,LEN(C316)-2), "","")"),2896.0)</f>
        <v>2896</v>
      </c>
      <c r="E316" s="7"/>
      <c r="F316" s="7"/>
      <c r="G316" s="2" t="str">
        <f t="array" ref="G316">IF(ISBLANK(D316), "", INDEX(Categories!$B:$B,MATCH(D316,Categories!$A:$A,0)))</f>
        <v>Variety Stores</v>
      </c>
      <c r="H316" s="7" t="str">
        <f t="array" ref="H316">IF(ISBLANK(E316), "", INDEX(Categories!$B:$B,MATCH(E316,Categories!$A:$A,0)))</f>
        <v/>
      </c>
      <c r="I316" s="7" t="str">
        <f t="array" ref="I316">IF(ISBLANK(F316), "", INDEX(Categories!$B:$B,MATCH(F316,Categories!$A:$A,0)))</f>
        <v/>
      </c>
      <c r="J316" s="4"/>
      <c r="K316" s="4"/>
      <c r="L316" s="4"/>
      <c r="M316" s="4"/>
      <c r="N316" s="4"/>
      <c r="O316" s="4"/>
      <c r="P316" s="4"/>
      <c r="Q316" s="4"/>
    </row>
    <row r="317">
      <c r="A317" s="5">
        <v>316.0</v>
      </c>
      <c r="B317" s="5" t="s">
        <v>472</v>
      </c>
      <c r="C317" s="5" t="s">
        <v>473</v>
      </c>
      <c r="D317" s="6">
        <f>IFERROR(__xludf.DUMMYFUNCTION("SPLIT(MID(C317,2,LEN(C317)-2), "","")"),1965.0)</f>
        <v>1965</v>
      </c>
      <c r="E317" s="7"/>
      <c r="F317" s="7"/>
      <c r="G317" s="2" t="str">
        <f t="array" ref="G317">IF(ISBLANK(D317), "", INDEX(Categories!$B:$B,MATCH(D317,Categories!$A:$A,0)))</f>
        <v>Electronics - Dealers</v>
      </c>
      <c r="H317" s="7" t="str">
        <f t="array" ref="H317">IF(ISBLANK(E317), "", INDEX(Categories!$B:$B,MATCH(E317,Categories!$A:$A,0)))</f>
        <v/>
      </c>
      <c r="I317" s="7" t="str">
        <f t="array" ref="I317">IF(ISBLANK(F317), "", INDEX(Categories!$B:$B,MATCH(F317,Categories!$A:$A,0)))</f>
        <v/>
      </c>
      <c r="J317" s="4"/>
      <c r="K317" s="4"/>
      <c r="L317" s="4"/>
      <c r="M317" s="4"/>
      <c r="N317" s="4"/>
      <c r="O317" s="4"/>
      <c r="P317" s="4"/>
      <c r="Q317" s="4"/>
    </row>
    <row r="318">
      <c r="A318" s="5">
        <v>317.0</v>
      </c>
      <c r="B318" s="5" t="s">
        <v>474</v>
      </c>
      <c r="C318" s="5" t="s">
        <v>475</v>
      </c>
      <c r="D318" s="6">
        <f>IFERROR(__xludf.DUMMYFUNCTION("SPLIT(MID(C318,2,LEN(C318)-2), "","")"),851.0)</f>
        <v>851</v>
      </c>
      <c r="E318" s="7"/>
      <c r="F318" s="7"/>
      <c r="G318" s="2" t="str">
        <f t="array" ref="G318">IF(ISBLANK(D318), "", INDEX(Categories!$B:$B,MATCH(D318,Categories!$A:$A,0)))</f>
        <v>Garbage &amp; Rubbish Collection</v>
      </c>
      <c r="H318" s="7" t="str">
        <f t="array" ref="H318">IF(ISBLANK(E318), "", INDEX(Categories!$B:$B,MATCH(E318,Categories!$A:$A,0)))</f>
        <v/>
      </c>
      <c r="I318" s="7" t="str">
        <f t="array" ref="I318">IF(ISBLANK(F318), "", INDEX(Categories!$B:$B,MATCH(F318,Categories!$A:$A,0)))</f>
        <v/>
      </c>
      <c r="J318" s="4"/>
      <c r="K318" s="4"/>
      <c r="L318" s="4"/>
      <c r="M318" s="4"/>
      <c r="N318" s="4"/>
      <c r="O318" s="4"/>
      <c r="P318" s="4"/>
      <c r="Q318" s="4"/>
    </row>
    <row r="319">
      <c r="A319" s="5">
        <v>318.0</v>
      </c>
      <c r="B319" s="5" t="s">
        <v>476</v>
      </c>
      <c r="C319" s="5" t="s">
        <v>96</v>
      </c>
      <c r="D319" s="6">
        <f>IFERROR(__xludf.DUMMYFUNCTION("SPLIT(MID(C319,2,LEN(C319)-2), "","")"),572.0)</f>
        <v>572</v>
      </c>
      <c r="E319" s="7"/>
      <c r="F319" s="7"/>
      <c r="G319" s="2" t="str">
        <f t="array" ref="G319">IF(ISBLANK(D319), "", INDEX(Categories!$B:$B,MATCH(D319,Categories!$A:$A,0)))</f>
        <v>Groceries</v>
      </c>
      <c r="H319" s="7" t="str">
        <f t="array" ref="H319">IF(ISBLANK(E319), "", INDEX(Categories!$B:$B,MATCH(E319,Categories!$A:$A,0)))</f>
        <v/>
      </c>
      <c r="I319" s="7" t="str">
        <f t="array" ref="I319">IF(ISBLANK(F319), "", INDEX(Categories!$B:$B,MATCH(F319,Categories!$A:$A,0)))</f>
        <v/>
      </c>
      <c r="J319" s="4"/>
      <c r="K319" s="4"/>
      <c r="L319" s="4"/>
      <c r="M319" s="4"/>
      <c r="N319" s="4"/>
      <c r="O319" s="4"/>
      <c r="P319" s="4"/>
      <c r="Q319" s="4"/>
    </row>
    <row r="320">
      <c r="A320" s="5">
        <v>319.0</v>
      </c>
      <c r="B320" s="5" t="s">
        <v>477</v>
      </c>
      <c r="C320" s="5" t="s">
        <v>478</v>
      </c>
      <c r="D320" s="6">
        <f>IFERROR(__xludf.DUMMYFUNCTION("SPLIT(MID(C320,2,LEN(C320)-2), "","")"),927.0)</f>
        <v>927</v>
      </c>
      <c r="E320" s="7"/>
      <c r="F320" s="7"/>
      <c r="G320" s="2" t="str">
        <f t="array" ref="G320">IF(ISBLANK(D320), "", INDEX(Categories!$B:$B,MATCH(D320,Categories!$A:$A,0)))</f>
        <v>Counseling Services</v>
      </c>
      <c r="H320" s="7" t="str">
        <f t="array" ref="H320">IF(ISBLANK(E320), "", INDEX(Categories!$B:$B,MATCH(E320,Categories!$A:$A,0)))</f>
        <v/>
      </c>
      <c r="I320" s="7" t="str">
        <f t="array" ref="I320">IF(ISBLANK(F320), "", INDEX(Categories!$B:$B,MATCH(F320,Categories!$A:$A,0)))</f>
        <v/>
      </c>
      <c r="J320" s="4"/>
      <c r="K320" s="4"/>
      <c r="L320" s="4"/>
      <c r="M320" s="4"/>
      <c r="N320" s="4"/>
      <c r="O320" s="4"/>
      <c r="P320" s="4"/>
      <c r="Q320" s="4"/>
    </row>
    <row r="321">
      <c r="A321" s="5">
        <v>320.0</v>
      </c>
      <c r="B321" s="5" t="s">
        <v>479</v>
      </c>
      <c r="C321" s="5" t="s">
        <v>139</v>
      </c>
      <c r="D321" s="6">
        <f>IFERROR(__xludf.DUMMYFUNCTION("SPLIT(MID(C321,2,LEN(C321)-2), "","")"),1617.0)</f>
        <v>1617</v>
      </c>
      <c r="E321" s="7"/>
      <c r="F321" s="7"/>
      <c r="G321" s="2" t="str">
        <f t="array" ref="G321">IF(ISBLANK(D321), "", INDEX(Categories!$B:$B,MATCH(D321,Categories!$A:$A,0)))</f>
        <v>Department Stores</v>
      </c>
      <c r="H321" s="7" t="str">
        <f t="array" ref="H321">IF(ISBLANK(E321), "", INDEX(Categories!$B:$B,MATCH(E321,Categories!$A:$A,0)))</f>
        <v/>
      </c>
      <c r="I321" s="7" t="str">
        <f t="array" ref="I321">IF(ISBLANK(F321), "", INDEX(Categories!$B:$B,MATCH(F321,Categories!$A:$A,0)))</f>
        <v/>
      </c>
      <c r="J321" s="4"/>
      <c r="K321" s="4"/>
      <c r="L321" s="4"/>
      <c r="M321" s="4"/>
      <c r="N321" s="4"/>
      <c r="O321" s="4"/>
      <c r="P321" s="4"/>
      <c r="Q321" s="4"/>
    </row>
    <row r="322">
      <c r="A322" s="5">
        <v>321.0</v>
      </c>
      <c r="B322" s="5" t="s">
        <v>480</v>
      </c>
      <c r="C322" s="5" t="s">
        <v>34</v>
      </c>
      <c r="D322" s="6">
        <f>IFERROR(__xludf.DUMMYFUNCTION("SPLIT(MID(C322,2,LEN(C322)-2), "","")"),228.0)</f>
        <v>228</v>
      </c>
      <c r="E322" s="7"/>
      <c r="F322" s="7"/>
      <c r="G322" s="2" t="str">
        <f t="array" ref="G322">IF(ISBLANK(D322), "", INDEX(Categories!$B:$B,MATCH(D322,Categories!$A:$A,0)))</f>
        <v>Restaurants</v>
      </c>
      <c r="H322" s="7" t="str">
        <f t="array" ref="H322">IF(ISBLANK(E322), "", INDEX(Categories!$B:$B,MATCH(E322,Categories!$A:$A,0)))</f>
        <v/>
      </c>
      <c r="I322" s="7" t="str">
        <f t="array" ref="I322">IF(ISBLANK(F322), "", INDEX(Categories!$B:$B,MATCH(F322,Categories!$A:$A,0)))</f>
        <v/>
      </c>
      <c r="J322" s="4"/>
      <c r="K322" s="4"/>
      <c r="L322" s="4"/>
      <c r="M322" s="4"/>
      <c r="N322" s="4"/>
      <c r="O322" s="4"/>
      <c r="P322" s="4"/>
      <c r="Q322" s="4"/>
    </row>
    <row r="323">
      <c r="A323" s="5">
        <v>322.0</v>
      </c>
      <c r="B323" s="5" t="s">
        <v>481</v>
      </c>
      <c r="C323" s="5" t="s">
        <v>111</v>
      </c>
      <c r="D323" s="6">
        <f>IFERROR(__xludf.DUMMYFUNCTION("SPLIT(MID(C323,2,LEN(C323)-2), "","")"),444.0)</f>
        <v>444</v>
      </c>
      <c r="E323" s="7"/>
      <c r="F323" s="7"/>
      <c r="G323" s="2" t="str">
        <f t="array" ref="G323">IF(ISBLANK(D323), "", INDEX(Categories!$B:$B,MATCH(D323,Categories!$A:$A,0)))</f>
        <v>Hair Salons &amp; Barbers</v>
      </c>
      <c r="H323" s="7" t="str">
        <f t="array" ref="H323">IF(ISBLANK(E323), "", INDEX(Categories!$B:$B,MATCH(E323,Categories!$A:$A,0)))</f>
        <v/>
      </c>
      <c r="I323" s="7" t="str">
        <f t="array" ref="I323">IF(ISBLANK(F323), "", INDEX(Categories!$B:$B,MATCH(F323,Categories!$A:$A,0)))</f>
        <v/>
      </c>
      <c r="J323" s="4"/>
      <c r="K323" s="4"/>
      <c r="L323" s="4"/>
      <c r="M323" s="4"/>
      <c r="N323" s="4"/>
      <c r="O323" s="4"/>
      <c r="P323" s="4"/>
      <c r="Q323" s="4"/>
    </row>
    <row r="324">
      <c r="A324" s="5">
        <v>323.0</v>
      </c>
      <c r="B324" s="5" t="s">
        <v>482</v>
      </c>
      <c r="C324" s="5" t="s">
        <v>253</v>
      </c>
      <c r="D324" s="6">
        <f>IFERROR(__xludf.DUMMYFUNCTION("SPLIT(MID(C324,2,LEN(C324)-2), "","")"),686.0)</f>
        <v>686</v>
      </c>
      <c r="E324" s="7"/>
      <c r="F324" s="7"/>
      <c r="G324" s="2" t="str">
        <f t="array" ref="G324">IF(ISBLANK(D324), "", INDEX(Categories!$B:$B,MATCH(D324,Categories!$A:$A,0)))</f>
        <v>Gift Shops</v>
      </c>
      <c r="H324" s="7" t="str">
        <f t="array" ref="H324">IF(ISBLANK(E324), "", INDEX(Categories!$B:$B,MATCH(E324,Categories!$A:$A,0)))</f>
        <v/>
      </c>
      <c r="I324" s="7" t="str">
        <f t="array" ref="I324">IF(ISBLANK(F324), "", INDEX(Categories!$B:$B,MATCH(F324,Categories!$A:$A,0)))</f>
        <v/>
      </c>
      <c r="J324" s="4"/>
      <c r="K324" s="4"/>
      <c r="L324" s="4"/>
      <c r="M324" s="4"/>
      <c r="N324" s="4"/>
      <c r="O324" s="4"/>
      <c r="P324" s="4"/>
      <c r="Q324" s="4"/>
    </row>
    <row r="325">
      <c r="A325" s="5">
        <v>324.0</v>
      </c>
      <c r="B325" s="5" t="s">
        <v>483</v>
      </c>
      <c r="C325" s="5" t="s">
        <v>484</v>
      </c>
      <c r="D325" s="6">
        <f>IFERROR(__xludf.DUMMYFUNCTION("SPLIT(MID(C325,2,LEN(C325)-2), "","")"),573.0)</f>
        <v>573</v>
      </c>
      <c r="E325" s="7"/>
      <c r="F325" s="7"/>
      <c r="G325" s="2" t="str">
        <f t="array" ref="G325">IF(ISBLANK(D325), "", INDEX(Categories!$B:$B,MATCH(D325,Categories!$A:$A,0)))</f>
        <v>Bagels</v>
      </c>
      <c r="H325" s="7" t="str">
        <f t="array" ref="H325">IF(ISBLANK(E325), "", INDEX(Categories!$B:$B,MATCH(E325,Categories!$A:$A,0)))</f>
        <v/>
      </c>
      <c r="I325" s="7" t="str">
        <f t="array" ref="I325">IF(ISBLANK(F325), "", INDEX(Categories!$B:$B,MATCH(F325,Categories!$A:$A,0)))</f>
        <v/>
      </c>
      <c r="J325" s="4"/>
      <c r="K325" s="4"/>
      <c r="L325" s="4"/>
      <c r="M325" s="4"/>
      <c r="N325" s="4"/>
      <c r="O325" s="4"/>
      <c r="P325" s="4"/>
      <c r="Q325" s="4"/>
    </row>
    <row r="326">
      <c r="A326" s="5">
        <v>325.0</v>
      </c>
      <c r="B326" s="5" t="s">
        <v>485</v>
      </c>
      <c r="C326" s="5" t="s">
        <v>16</v>
      </c>
      <c r="D326" s="6">
        <f>IFERROR(__xludf.DUMMYFUNCTION("SPLIT(MID(C326,2,LEN(C326)-2), "","")"),51.0)</f>
        <v>51</v>
      </c>
      <c r="E326" s="7"/>
      <c r="F326" s="7"/>
      <c r="G326" s="2" t="str">
        <f t="array" ref="G326">IF(ISBLANK(D326), "", INDEX(Categories!$B:$B,MATCH(D326,Categories!$A:$A,0)))</f>
        <v>Automobile Parts &amp; Supplies</v>
      </c>
      <c r="H326" s="7" t="str">
        <f t="array" ref="H326">IF(ISBLANK(E326), "", INDEX(Categories!$B:$B,MATCH(E326,Categories!$A:$A,0)))</f>
        <v/>
      </c>
      <c r="I326" s="7" t="str">
        <f t="array" ref="I326">IF(ISBLANK(F326), "", INDEX(Categories!$B:$B,MATCH(F326,Categories!$A:$A,0)))</f>
        <v/>
      </c>
      <c r="J326" s="4"/>
      <c r="K326" s="4"/>
      <c r="L326" s="4"/>
      <c r="M326" s="4"/>
      <c r="N326" s="4"/>
      <c r="O326" s="4"/>
      <c r="P326" s="4"/>
      <c r="Q326" s="4"/>
    </row>
    <row r="327">
      <c r="A327" s="5">
        <v>326.0</v>
      </c>
      <c r="B327" s="5" t="s">
        <v>486</v>
      </c>
      <c r="C327" s="5" t="s">
        <v>303</v>
      </c>
      <c r="D327" s="6">
        <f>IFERROR(__xludf.DUMMYFUNCTION("SPLIT(MID(C327,2,LEN(C327)-2), "","")"),1241.0)</f>
        <v>1241</v>
      </c>
      <c r="E327" s="7"/>
      <c r="F327" s="7"/>
      <c r="G327" s="2" t="str">
        <f t="array" ref="G327">IF(ISBLANK(D327), "", INDEX(Categories!$B:$B,MATCH(D327,Categories!$A:$A,0)))</f>
        <v>Clothing &amp; Accessories</v>
      </c>
      <c r="H327" s="7" t="str">
        <f t="array" ref="H327">IF(ISBLANK(E327), "", INDEX(Categories!$B:$B,MATCH(E327,Categories!$A:$A,0)))</f>
        <v/>
      </c>
      <c r="I327" s="7" t="str">
        <f t="array" ref="I327">IF(ISBLANK(F327), "", INDEX(Categories!$B:$B,MATCH(F327,Categories!$A:$A,0)))</f>
        <v/>
      </c>
      <c r="J327" s="4"/>
      <c r="K327" s="4"/>
      <c r="L327" s="4"/>
      <c r="M327" s="4"/>
      <c r="N327" s="4"/>
      <c r="O327" s="4"/>
      <c r="P327" s="4"/>
      <c r="Q327" s="4"/>
    </row>
    <row r="328">
      <c r="A328" s="5">
        <v>327.0</v>
      </c>
      <c r="B328" s="5" t="s">
        <v>487</v>
      </c>
      <c r="C328" s="5" t="s">
        <v>488</v>
      </c>
      <c r="D328" s="6">
        <f>IFERROR(__xludf.DUMMYFUNCTION("SPLIT(MID(C328,2,LEN(C328)-2), "","")"),1481.0)</f>
        <v>1481</v>
      </c>
      <c r="E328" s="7"/>
      <c r="F328" s="7"/>
      <c r="G328" s="2" t="str">
        <f t="array" ref="G328">IF(ISBLANK(D328), "", INDEX(Categories!$B:$B,MATCH(D328,Categories!$A:$A,0)))</f>
        <v>Railroad Companies</v>
      </c>
      <c r="H328" s="7" t="str">
        <f t="array" ref="H328">IF(ISBLANK(E328), "", INDEX(Categories!$B:$B,MATCH(E328,Categories!$A:$A,0)))</f>
        <v/>
      </c>
      <c r="I328" s="7" t="str">
        <f t="array" ref="I328">IF(ISBLANK(F328), "", INDEX(Categories!$B:$B,MATCH(F328,Categories!$A:$A,0)))</f>
        <v/>
      </c>
      <c r="J328" s="4"/>
      <c r="K328" s="4"/>
      <c r="L328" s="4"/>
      <c r="M328" s="4"/>
      <c r="N328" s="4"/>
      <c r="O328" s="4"/>
      <c r="P328" s="4"/>
      <c r="Q328" s="4"/>
    </row>
    <row r="329">
      <c r="A329" s="5">
        <v>328.0</v>
      </c>
      <c r="B329" s="5" t="s">
        <v>489</v>
      </c>
      <c r="C329" s="5" t="s">
        <v>164</v>
      </c>
      <c r="D329" s="6">
        <f>IFERROR(__xludf.DUMMYFUNCTION("SPLIT(MID(C329,2,LEN(C329)-2), "","")"),243.0)</f>
        <v>243</v>
      </c>
      <c r="E329" s="7"/>
      <c r="F329" s="7"/>
      <c r="G329" s="2" t="str">
        <f t="array" ref="G329">IF(ISBLANK(D329), "", INDEX(Categories!$B:$B,MATCH(D329,Categories!$A:$A,0)))</f>
        <v>Restaurants Seafood</v>
      </c>
      <c r="H329" s="7" t="str">
        <f t="array" ref="H329">IF(ISBLANK(E329), "", INDEX(Categories!$B:$B,MATCH(E329,Categories!$A:$A,0)))</f>
        <v/>
      </c>
      <c r="I329" s="7" t="str">
        <f t="array" ref="I329">IF(ISBLANK(F329), "", INDEX(Categories!$B:$B,MATCH(F329,Categories!$A:$A,0)))</f>
        <v/>
      </c>
      <c r="J329" s="4"/>
      <c r="K329" s="4"/>
      <c r="L329" s="4"/>
      <c r="M329" s="4"/>
      <c r="N329" s="4"/>
      <c r="O329" s="4"/>
      <c r="P329" s="4"/>
      <c r="Q329" s="4"/>
    </row>
    <row r="330">
      <c r="A330" s="5">
        <v>329.0</v>
      </c>
      <c r="B330" s="5" t="s">
        <v>490</v>
      </c>
      <c r="C330" s="5" t="s">
        <v>491</v>
      </c>
      <c r="D330" s="6">
        <f>IFERROR(__xludf.DUMMYFUNCTION("SPLIT(MID(C330,2,LEN(C330)-2), "","")"),692.0)</f>
        <v>692</v>
      </c>
      <c r="E330" s="7"/>
      <c r="F330" s="7"/>
      <c r="G330" s="2" t="str">
        <f t="array" ref="G330">IF(ISBLANK(D330), "", INDEX(Categories!$B:$B,MATCH(D330,Categories!$A:$A,0)))</f>
        <v>Greeting Cards Retail</v>
      </c>
      <c r="H330" s="7" t="str">
        <f t="array" ref="H330">IF(ISBLANK(E330), "", INDEX(Categories!$B:$B,MATCH(E330,Categories!$A:$A,0)))</f>
        <v/>
      </c>
      <c r="I330" s="7" t="str">
        <f t="array" ref="I330">IF(ISBLANK(F330), "", INDEX(Categories!$B:$B,MATCH(F330,Categories!$A:$A,0)))</f>
        <v/>
      </c>
      <c r="J330" s="4"/>
      <c r="K330" s="4"/>
      <c r="L330" s="4"/>
      <c r="M330" s="4"/>
      <c r="N330" s="4"/>
      <c r="O330" s="4"/>
      <c r="P330" s="4"/>
      <c r="Q330" s="4"/>
    </row>
    <row r="331">
      <c r="A331" s="5">
        <v>330.0</v>
      </c>
      <c r="B331" s="5" t="s">
        <v>492</v>
      </c>
      <c r="C331" s="5" t="s">
        <v>493</v>
      </c>
      <c r="D331" s="6">
        <f>IFERROR(__xludf.DUMMYFUNCTION("SPLIT(MID(C331,2,LEN(C331)-2), "","")"),766.0)</f>
        <v>766</v>
      </c>
      <c r="E331" s="7"/>
      <c r="F331" s="7"/>
      <c r="G331" s="2" t="str">
        <f t="array" ref="G331">IF(ISBLANK(D331), "", INDEX(Categories!$B:$B,MATCH(D331,Categories!$A:$A,0)))</f>
        <v>Pawnbrokers</v>
      </c>
      <c r="H331" s="7" t="str">
        <f t="array" ref="H331">IF(ISBLANK(E331), "", INDEX(Categories!$B:$B,MATCH(E331,Categories!$A:$A,0)))</f>
        <v/>
      </c>
      <c r="I331" s="7" t="str">
        <f t="array" ref="I331">IF(ISBLANK(F331), "", INDEX(Categories!$B:$B,MATCH(F331,Categories!$A:$A,0)))</f>
        <v/>
      </c>
      <c r="J331" s="4"/>
      <c r="K331" s="4"/>
      <c r="L331" s="4"/>
      <c r="M331" s="4"/>
      <c r="N331" s="4"/>
      <c r="O331" s="4"/>
      <c r="P331" s="4"/>
      <c r="Q331" s="4"/>
    </row>
    <row r="332">
      <c r="A332" s="5">
        <v>331.0</v>
      </c>
      <c r="B332" s="5" t="s">
        <v>494</v>
      </c>
      <c r="C332" s="5" t="s">
        <v>20</v>
      </c>
      <c r="D332" s="6">
        <f>IFERROR(__xludf.DUMMYFUNCTION("SPLIT(MID(C332,2,LEN(C332)-2), "","")"),1213.0)</f>
        <v>1213</v>
      </c>
      <c r="E332" s="7"/>
      <c r="F332" s="7"/>
      <c r="G332" s="2" t="str">
        <f t="array" ref="G332">IF(ISBLANK(D332), "", INDEX(Categories!$B:$B,MATCH(D332,Categories!$A:$A,0)))</f>
        <v>Social Service Organizations</v>
      </c>
      <c r="H332" s="7" t="str">
        <f t="array" ref="H332">IF(ISBLANK(E332), "", INDEX(Categories!$B:$B,MATCH(E332,Categories!$A:$A,0)))</f>
        <v/>
      </c>
      <c r="I332" s="7" t="str">
        <f t="array" ref="I332">IF(ISBLANK(F332), "", INDEX(Categories!$B:$B,MATCH(F332,Categories!$A:$A,0)))</f>
        <v/>
      </c>
      <c r="J332" s="4"/>
      <c r="K332" s="4"/>
      <c r="L332" s="4"/>
      <c r="M332" s="4"/>
      <c r="N332" s="4"/>
      <c r="O332" s="4"/>
      <c r="P332" s="4"/>
      <c r="Q332" s="4"/>
    </row>
    <row r="333">
      <c r="A333" s="5">
        <v>332.0</v>
      </c>
      <c r="B333" s="5" t="s">
        <v>495</v>
      </c>
      <c r="C333" s="5" t="s">
        <v>115</v>
      </c>
      <c r="D333" s="6">
        <f>IFERROR(__xludf.DUMMYFUNCTION("SPLIT(MID(C333,2,LEN(C333)-2), "","")"),1272.0)</f>
        <v>1272</v>
      </c>
      <c r="E333" s="7"/>
      <c r="F333" s="7"/>
      <c r="G333" s="2" t="str">
        <f t="array" ref="G333">IF(ISBLANK(D333), "", INDEX(Categories!$B:$B,MATCH(D333,Categories!$A:$A,0)))</f>
        <v>Womens Apparel</v>
      </c>
      <c r="H333" s="7" t="str">
        <f t="array" ref="H333">IF(ISBLANK(E333), "", INDEX(Categories!$B:$B,MATCH(E333,Categories!$A:$A,0)))</f>
        <v/>
      </c>
      <c r="I333" s="7" t="str">
        <f t="array" ref="I333">IF(ISBLANK(F333), "", INDEX(Categories!$B:$B,MATCH(F333,Categories!$A:$A,0)))</f>
        <v/>
      </c>
      <c r="J333" s="4"/>
      <c r="K333" s="4"/>
      <c r="L333" s="4"/>
      <c r="M333" s="4"/>
      <c r="N333" s="4"/>
      <c r="O333" s="4"/>
      <c r="P333" s="4"/>
      <c r="Q333" s="4"/>
    </row>
    <row r="334">
      <c r="A334" s="5">
        <v>333.0</v>
      </c>
      <c r="B334" s="5" t="s">
        <v>496</v>
      </c>
      <c r="C334" s="5" t="s">
        <v>497</v>
      </c>
      <c r="D334" s="6">
        <f>IFERROR(__xludf.DUMMYFUNCTION("SPLIT(MID(C334,2,LEN(C334)-2), "","")"),2348.0)</f>
        <v>2348</v>
      </c>
      <c r="E334" s="7"/>
      <c r="F334" s="7"/>
      <c r="G334" s="2" t="str">
        <f t="array" ref="G334">IF(ISBLANK(D334), "", INDEX(Categories!$B:$B,MATCH(D334,Categories!$A:$A,0)))</f>
        <v>Real Estate - Development</v>
      </c>
      <c r="H334" s="7" t="str">
        <f t="array" ref="H334">IF(ISBLANK(E334), "", INDEX(Categories!$B:$B,MATCH(E334,Categories!$A:$A,0)))</f>
        <v/>
      </c>
      <c r="I334" s="7" t="str">
        <f t="array" ref="I334">IF(ISBLANK(F334), "", INDEX(Categories!$B:$B,MATCH(F334,Categories!$A:$A,0)))</f>
        <v/>
      </c>
      <c r="J334" s="4"/>
      <c r="K334" s="4"/>
      <c r="L334" s="4"/>
      <c r="M334" s="4"/>
      <c r="N334" s="4"/>
      <c r="O334" s="4"/>
      <c r="P334" s="4"/>
      <c r="Q334" s="4"/>
    </row>
    <row r="335">
      <c r="A335" s="5">
        <v>334.0</v>
      </c>
      <c r="B335" s="5" t="s">
        <v>498</v>
      </c>
      <c r="C335" s="5" t="s">
        <v>499</v>
      </c>
      <c r="D335" s="6">
        <f>IFERROR(__xludf.DUMMYFUNCTION("SPLIT(MID(C335,2,LEN(C335)-2), "","")"),941.0)</f>
        <v>941</v>
      </c>
      <c r="E335" s="7"/>
      <c r="F335" s="7"/>
      <c r="G335" s="2" t="str">
        <f t="array" ref="G335">IF(ISBLANK(D335), "", INDEX(Categories!$B:$B,MATCH(D335,Categories!$A:$A,0)))</f>
        <v>Trust Companies &amp; Services</v>
      </c>
      <c r="H335" s="7" t="str">
        <f t="array" ref="H335">IF(ISBLANK(E335), "", INDEX(Categories!$B:$B,MATCH(E335,Categories!$A:$A,0)))</f>
        <v/>
      </c>
      <c r="I335" s="7" t="str">
        <f t="array" ref="I335">IF(ISBLANK(F335), "", INDEX(Categories!$B:$B,MATCH(F335,Categories!$A:$A,0)))</f>
        <v/>
      </c>
      <c r="J335" s="4"/>
      <c r="K335" s="4"/>
      <c r="L335" s="4"/>
      <c r="M335" s="4"/>
      <c r="N335" s="4"/>
      <c r="O335" s="4"/>
      <c r="P335" s="4"/>
      <c r="Q335" s="4"/>
    </row>
    <row r="336">
      <c r="A336" s="5">
        <v>335.0</v>
      </c>
      <c r="B336" s="5" t="s">
        <v>500</v>
      </c>
      <c r="C336" s="5" t="s">
        <v>501</v>
      </c>
      <c r="D336" s="6">
        <f>IFERROR(__xludf.DUMMYFUNCTION("SPLIT(MID(C336,2,LEN(C336)-2), "","")"),896.0)</f>
        <v>896</v>
      </c>
      <c r="E336" s="7"/>
      <c r="F336" s="7"/>
      <c r="G336" s="2" t="str">
        <f t="array" ref="G336">IF(ISBLANK(D336), "", INDEX(Categories!$B:$B,MATCH(D336,Categories!$A:$A,0)))</f>
        <v>Check Cashing Service</v>
      </c>
      <c r="H336" s="7" t="str">
        <f t="array" ref="H336">IF(ISBLANK(E336), "", INDEX(Categories!$B:$B,MATCH(E336,Categories!$A:$A,0)))</f>
        <v/>
      </c>
      <c r="I336" s="7" t="str">
        <f t="array" ref="I336">IF(ISBLANK(F336), "", INDEX(Categories!$B:$B,MATCH(F336,Categories!$A:$A,0)))</f>
        <v/>
      </c>
      <c r="J336" s="4"/>
      <c r="K336" s="4"/>
      <c r="L336" s="4"/>
      <c r="M336" s="4"/>
      <c r="N336" s="4"/>
      <c r="O336" s="4"/>
      <c r="P336" s="4"/>
      <c r="Q336" s="4"/>
    </row>
    <row r="337">
      <c r="A337" s="5">
        <v>336.0</v>
      </c>
      <c r="B337" s="5" t="s">
        <v>502</v>
      </c>
      <c r="C337" s="5" t="s">
        <v>501</v>
      </c>
      <c r="D337" s="6">
        <f>IFERROR(__xludf.DUMMYFUNCTION("SPLIT(MID(C337,2,LEN(C337)-2), "","")"),896.0)</f>
        <v>896</v>
      </c>
      <c r="E337" s="7"/>
      <c r="F337" s="7"/>
      <c r="G337" s="2" t="str">
        <f t="array" ref="G337">IF(ISBLANK(D337), "", INDEX(Categories!$B:$B,MATCH(D337,Categories!$A:$A,0)))</f>
        <v>Check Cashing Service</v>
      </c>
      <c r="H337" s="7" t="str">
        <f t="array" ref="H337">IF(ISBLANK(E337), "", INDEX(Categories!$B:$B,MATCH(E337,Categories!$A:$A,0)))</f>
        <v/>
      </c>
      <c r="I337" s="7" t="str">
        <f t="array" ref="I337">IF(ISBLANK(F337), "", INDEX(Categories!$B:$B,MATCH(F337,Categories!$A:$A,0)))</f>
        <v/>
      </c>
      <c r="J337" s="4"/>
      <c r="K337" s="4"/>
      <c r="L337" s="4"/>
      <c r="M337" s="4"/>
      <c r="N337" s="4"/>
      <c r="O337" s="4"/>
      <c r="P337" s="4"/>
      <c r="Q337" s="4"/>
    </row>
    <row r="338">
      <c r="A338" s="5">
        <v>337.0</v>
      </c>
      <c r="B338" s="5" t="s">
        <v>503</v>
      </c>
      <c r="C338" s="5" t="s">
        <v>504</v>
      </c>
      <c r="D338" s="6">
        <f>IFERROR(__xludf.DUMMYFUNCTION("SPLIT(MID(C338,2,LEN(C338)-2), "","")"),17.0)</f>
        <v>17</v>
      </c>
      <c r="E338" s="7"/>
      <c r="F338" s="7"/>
      <c r="G338" s="2" t="str">
        <f t="array" ref="G338">IF(ISBLANK(D338), "", INDEX(Categories!$B:$B,MATCH(D338,Categories!$A:$A,0)))</f>
        <v>Title Companies &amp; Agents</v>
      </c>
      <c r="H338" s="7" t="str">
        <f t="array" ref="H338">IF(ISBLANK(E338), "", INDEX(Categories!$B:$B,MATCH(E338,Categories!$A:$A,0)))</f>
        <v/>
      </c>
      <c r="I338" s="7" t="str">
        <f t="array" ref="I338">IF(ISBLANK(F338), "", INDEX(Categories!$B:$B,MATCH(F338,Categories!$A:$A,0)))</f>
        <v/>
      </c>
      <c r="J338" s="4"/>
      <c r="K338" s="4"/>
      <c r="L338" s="4"/>
      <c r="M338" s="4"/>
      <c r="N338" s="4"/>
      <c r="O338" s="4"/>
      <c r="P338" s="4"/>
      <c r="Q338" s="4"/>
    </row>
    <row r="339">
      <c r="A339" s="5">
        <v>338.0</v>
      </c>
      <c r="B339" s="5" t="s">
        <v>505</v>
      </c>
      <c r="C339" s="5" t="s">
        <v>60</v>
      </c>
      <c r="D339" s="6">
        <f>IFERROR(__xludf.DUMMYFUNCTION("SPLIT(MID(C339,2,LEN(C339)-2), "","")"),240.0)</f>
        <v>240</v>
      </c>
      <c r="E339" s="7"/>
      <c r="F339" s="7"/>
      <c r="G339" s="2" t="str">
        <f t="array" ref="G339">IF(ISBLANK(D339), "", INDEX(Categories!$B:$B,MATCH(D339,Categories!$A:$A,0)))</f>
        <v>Restaurants Fast Food</v>
      </c>
      <c r="H339" s="7" t="str">
        <f t="array" ref="H339">IF(ISBLANK(E339), "", INDEX(Categories!$B:$B,MATCH(E339,Categories!$A:$A,0)))</f>
        <v/>
      </c>
      <c r="I339" s="7" t="str">
        <f t="array" ref="I339">IF(ISBLANK(F339), "", INDEX(Categories!$B:$B,MATCH(F339,Categories!$A:$A,0)))</f>
        <v/>
      </c>
      <c r="J339" s="4"/>
      <c r="K339" s="4"/>
      <c r="L339" s="4"/>
      <c r="M339" s="4"/>
      <c r="N339" s="4"/>
      <c r="O339" s="4"/>
      <c r="P339" s="4"/>
      <c r="Q339" s="4"/>
    </row>
    <row r="340">
      <c r="A340" s="5">
        <v>339.0</v>
      </c>
      <c r="B340" s="5" t="s">
        <v>506</v>
      </c>
      <c r="C340" s="5" t="s">
        <v>62</v>
      </c>
      <c r="D340" s="6">
        <f>IFERROR(__xludf.DUMMYFUNCTION("SPLIT(MID(C340,2,LEN(C340)-2), "","")"),242.0)</f>
        <v>242</v>
      </c>
      <c r="E340" s="7"/>
      <c r="F340" s="7"/>
      <c r="G340" s="2" t="str">
        <f t="array" ref="G340">IF(ISBLANK(D340), "", INDEX(Categories!$B:$B,MATCH(D340,Categories!$A:$A,0)))</f>
        <v>Restaurants Pizza</v>
      </c>
      <c r="H340" s="7" t="str">
        <f t="array" ref="H340">IF(ISBLANK(E340), "", INDEX(Categories!$B:$B,MATCH(E340,Categories!$A:$A,0)))</f>
        <v/>
      </c>
      <c r="I340" s="7" t="str">
        <f t="array" ref="I340">IF(ISBLANK(F340), "", INDEX(Categories!$B:$B,MATCH(F340,Categories!$A:$A,0)))</f>
        <v/>
      </c>
      <c r="J340" s="4"/>
      <c r="K340" s="4"/>
      <c r="L340" s="4"/>
      <c r="M340" s="4"/>
      <c r="N340" s="4"/>
      <c r="O340" s="4"/>
      <c r="P340" s="4"/>
      <c r="Q340" s="4"/>
    </row>
    <row r="341">
      <c r="A341" s="5">
        <v>340.0</v>
      </c>
      <c r="B341" s="5" t="s">
        <v>507</v>
      </c>
      <c r="C341" s="5" t="s">
        <v>58</v>
      </c>
      <c r="D341" s="6">
        <f>IFERROR(__xludf.DUMMYFUNCTION("SPLIT(MID(C341,2,LEN(C341)-2), "","")"),1170.0)</f>
        <v>1170</v>
      </c>
      <c r="E341" s="7"/>
      <c r="F341" s="7"/>
      <c r="G341" s="2" t="str">
        <f t="array" ref="G341">IF(ISBLANK(D341), "", INDEX(Categories!$B:$B,MATCH(D341,Categories!$A:$A,0)))</f>
        <v>Gasoline Retail</v>
      </c>
      <c r="H341" s="7" t="str">
        <f t="array" ref="H341">IF(ISBLANK(E341), "", INDEX(Categories!$B:$B,MATCH(E341,Categories!$A:$A,0)))</f>
        <v/>
      </c>
      <c r="I341" s="7" t="str">
        <f t="array" ref="I341">IF(ISBLANK(F341), "", INDEX(Categories!$B:$B,MATCH(F341,Categories!$A:$A,0)))</f>
        <v/>
      </c>
      <c r="J341" s="4"/>
      <c r="K341" s="4"/>
      <c r="L341" s="4"/>
      <c r="M341" s="4"/>
      <c r="N341" s="4"/>
      <c r="O341" s="4"/>
      <c r="P341" s="4"/>
      <c r="Q341" s="4"/>
    </row>
    <row r="342">
      <c r="A342" s="5">
        <v>341.0</v>
      </c>
      <c r="B342" s="5" t="s">
        <v>508</v>
      </c>
      <c r="C342" s="5" t="s">
        <v>509</v>
      </c>
      <c r="D342" s="6">
        <f>IFERROR(__xludf.DUMMYFUNCTION("SPLIT(MID(C342,2,LEN(C342)-2), "","")"),1634.0)</f>
        <v>1634</v>
      </c>
      <c r="E342" s="7"/>
      <c r="F342" s="7"/>
      <c r="G342" s="2" t="str">
        <f t="array" ref="G342">IF(ISBLANK(D342), "", INDEX(Categories!$B:$B,MATCH(D342,Categories!$A:$A,0)))</f>
        <v>Fabric Shops</v>
      </c>
      <c r="H342" s="7" t="str">
        <f t="array" ref="H342">IF(ISBLANK(E342), "", INDEX(Categories!$B:$B,MATCH(E342,Categories!$A:$A,0)))</f>
        <v/>
      </c>
      <c r="I342" s="7" t="str">
        <f t="array" ref="I342">IF(ISBLANK(F342), "", INDEX(Categories!$B:$B,MATCH(F342,Categories!$A:$A,0)))</f>
        <v/>
      </c>
      <c r="J342" s="4"/>
      <c r="K342" s="4"/>
      <c r="L342" s="4"/>
      <c r="M342" s="4"/>
      <c r="N342" s="4"/>
      <c r="O342" s="4"/>
      <c r="P342" s="4"/>
      <c r="Q342" s="4"/>
    </row>
    <row r="343">
      <c r="A343" s="5">
        <v>342.0</v>
      </c>
      <c r="B343" s="5" t="s">
        <v>510</v>
      </c>
      <c r="C343" s="5" t="s">
        <v>10</v>
      </c>
      <c r="D343" s="6">
        <f>IFERROR(__xludf.DUMMYFUNCTION("SPLIT(MID(C343,2,LEN(C343)-2), "","")"),1168.0)</f>
        <v>1168</v>
      </c>
      <c r="E343" s="7"/>
      <c r="F343" s="7"/>
      <c r="G343" s="2" t="str">
        <f t="array" ref="G343">IF(ISBLANK(D343), "", INDEX(Categories!$B:$B,MATCH(D343,Categories!$A:$A,0)))</f>
        <v>Convenience Stores</v>
      </c>
      <c r="H343" s="7" t="str">
        <f t="array" ref="H343">IF(ISBLANK(E343), "", INDEX(Categories!$B:$B,MATCH(E343,Categories!$A:$A,0)))</f>
        <v/>
      </c>
      <c r="I343" s="7" t="str">
        <f t="array" ref="I343">IF(ISBLANK(F343), "", INDEX(Categories!$B:$B,MATCH(F343,Categories!$A:$A,0)))</f>
        <v/>
      </c>
      <c r="J343" s="4"/>
      <c r="K343" s="4"/>
      <c r="L343" s="4"/>
      <c r="M343" s="4"/>
      <c r="N343" s="4"/>
      <c r="O343" s="4"/>
      <c r="P343" s="4"/>
      <c r="Q343" s="4"/>
    </row>
    <row r="344">
      <c r="A344" s="5">
        <v>343.0</v>
      </c>
      <c r="B344" s="5" t="s">
        <v>511</v>
      </c>
      <c r="C344" s="5" t="s">
        <v>512</v>
      </c>
      <c r="D344" s="6">
        <f>IFERROR(__xludf.DUMMYFUNCTION("SPLIT(MID(C344,2,LEN(C344)-2), "","")"),1030.0)</f>
        <v>1030</v>
      </c>
      <c r="E344" s="7"/>
      <c r="F344" s="7"/>
      <c r="G344" s="2" t="str">
        <f t="array" ref="G344">IF(ISBLANK(D344), "", INDEX(Categories!$B:$B,MATCH(D344,Categories!$A:$A,0)))</f>
        <v>Carpet &amp; Rug Dealers New</v>
      </c>
      <c r="H344" s="7" t="str">
        <f t="array" ref="H344">IF(ISBLANK(E344), "", INDEX(Categories!$B:$B,MATCH(E344,Categories!$A:$A,0)))</f>
        <v/>
      </c>
      <c r="I344" s="7" t="str">
        <f t="array" ref="I344">IF(ISBLANK(F344), "", INDEX(Categories!$B:$B,MATCH(F344,Categories!$A:$A,0)))</f>
        <v/>
      </c>
      <c r="J344" s="4"/>
      <c r="K344" s="4"/>
      <c r="L344" s="4"/>
      <c r="M344" s="4"/>
      <c r="N344" s="4"/>
      <c r="O344" s="4"/>
      <c r="P344" s="4"/>
      <c r="Q344" s="4"/>
    </row>
    <row r="345">
      <c r="A345" s="5">
        <v>344.0</v>
      </c>
      <c r="B345" s="5" t="s">
        <v>513</v>
      </c>
      <c r="C345" s="5" t="s">
        <v>423</v>
      </c>
      <c r="D345" s="6">
        <f>IFERROR(__xludf.DUMMYFUNCTION("SPLIT(MID(C345,2,LEN(C345)-2), "","")"),1079.0)</f>
        <v>1079</v>
      </c>
      <c r="E345" s="7"/>
      <c r="F345" s="7"/>
      <c r="G345" s="2" t="str">
        <f t="array" ref="G345">IF(ISBLANK(D345), "", INDEX(Categories!$B:$B,MATCH(D345,Categories!$A:$A,0)))</f>
        <v>Rental Service Stores &amp; Yards</v>
      </c>
      <c r="H345" s="7" t="str">
        <f t="array" ref="H345">IF(ISBLANK(E345), "", INDEX(Categories!$B:$B,MATCH(E345,Categories!$A:$A,0)))</f>
        <v/>
      </c>
      <c r="I345" s="7" t="str">
        <f t="array" ref="I345">IF(ISBLANK(F345), "", INDEX(Categories!$B:$B,MATCH(F345,Categories!$A:$A,0)))</f>
        <v/>
      </c>
      <c r="J345" s="4"/>
      <c r="K345" s="4"/>
      <c r="L345" s="4"/>
      <c r="M345" s="4"/>
      <c r="N345" s="4"/>
      <c r="O345" s="4"/>
      <c r="P345" s="4"/>
      <c r="Q345" s="4"/>
    </row>
    <row r="346">
      <c r="A346" s="5">
        <v>345.0</v>
      </c>
      <c r="B346" s="5" t="s">
        <v>514</v>
      </c>
      <c r="C346" s="5" t="s">
        <v>515</v>
      </c>
      <c r="D346" s="6">
        <f>IFERROR(__xludf.DUMMYFUNCTION("SPLIT(MID(C346,2,LEN(C346)-2), "","")"),2490.0)</f>
        <v>2490</v>
      </c>
      <c r="E346" s="7"/>
      <c r="F346" s="7"/>
      <c r="G346" s="2" t="str">
        <f t="array" ref="G346">IF(ISBLANK(D346), "", INDEX(Categories!$B:$B,MATCH(D346,Categories!$A:$A,0)))</f>
        <v>Labor Organizations</v>
      </c>
      <c r="H346" s="7" t="str">
        <f t="array" ref="H346">IF(ISBLANK(E346), "", INDEX(Categories!$B:$B,MATCH(E346,Categories!$A:$A,0)))</f>
        <v/>
      </c>
      <c r="I346" s="7" t="str">
        <f t="array" ref="I346">IF(ISBLANK(F346), "", INDEX(Categories!$B:$B,MATCH(F346,Categories!$A:$A,0)))</f>
        <v/>
      </c>
      <c r="J346" s="4"/>
      <c r="K346" s="4"/>
      <c r="L346" s="4"/>
      <c r="M346" s="4"/>
      <c r="N346" s="4"/>
      <c r="O346" s="4"/>
      <c r="P346" s="4"/>
      <c r="Q346" s="4"/>
    </row>
    <row r="347">
      <c r="A347" s="5">
        <v>346.0</v>
      </c>
      <c r="B347" s="5" t="s">
        <v>516</v>
      </c>
      <c r="C347" s="5" t="s">
        <v>517</v>
      </c>
      <c r="D347" s="6">
        <f>IFERROR(__xludf.DUMMYFUNCTION("SPLIT(MID(C347,2,LEN(C347)-2), "","")"),715.0)</f>
        <v>715</v>
      </c>
      <c r="E347" s="7"/>
      <c r="F347" s="7"/>
      <c r="G347" s="2" t="str">
        <f t="array" ref="G347">IF(ISBLANK(D347), "", INDEX(Categories!$B:$B,MATCH(D347,Categories!$A:$A,0)))</f>
        <v>Electronics - Computers</v>
      </c>
      <c r="H347" s="7" t="str">
        <f t="array" ref="H347">IF(ISBLANK(E347), "", INDEX(Categories!$B:$B,MATCH(E347,Categories!$A:$A,0)))</f>
        <v/>
      </c>
      <c r="I347" s="7" t="str">
        <f t="array" ref="I347">IF(ISBLANK(F347), "", INDEX(Categories!$B:$B,MATCH(F347,Categories!$A:$A,0)))</f>
        <v/>
      </c>
      <c r="J347" s="4"/>
      <c r="K347" s="4"/>
      <c r="L347" s="4"/>
      <c r="M347" s="4"/>
      <c r="N347" s="4"/>
      <c r="O347" s="4"/>
      <c r="P347" s="4"/>
      <c r="Q347" s="4"/>
    </row>
    <row r="348">
      <c r="A348" s="5">
        <v>347.0</v>
      </c>
      <c r="B348" s="5" t="s">
        <v>518</v>
      </c>
      <c r="C348" s="5" t="s">
        <v>58</v>
      </c>
      <c r="D348" s="6">
        <f>IFERROR(__xludf.DUMMYFUNCTION("SPLIT(MID(C348,2,LEN(C348)-2), "","")"),1170.0)</f>
        <v>1170</v>
      </c>
      <c r="E348" s="7"/>
      <c r="F348" s="7"/>
      <c r="G348" s="2" t="str">
        <f t="array" ref="G348">IF(ISBLANK(D348), "", INDEX(Categories!$B:$B,MATCH(D348,Categories!$A:$A,0)))</f>
        <v>Gasoline Retail</v>
      </c>
      <c r="H348" s="7" t="str">
        <f t="array" ref="H348">IF(ISBLANK(E348), "", INDEX(Categories!$B:$B,MATCH(E348,Categories!$A:$A,0)))</f>
        <v/>
      </c>
      <c r="I348" s="7" t="str">
        <f t="array" ref="I348">IF(ISBLANK(F348), "", INDEX(Categories!$B:$B,MATCH(F348,Categories!$A:$A,0)))</f>
        <v/>
      </c>
      <c r="J348" s="4"/>
      <c r="K348" s="4"/>
      <c r="L348" s="4"/>
      <c r="M348" s="4"/>
      <c r="N348" s="4"/>
      <c r="O348" s="4"/>
      <c r="P348" s="4"/>
      <c r="Q348" s="4"/>
    </row>
    <row r="349">
      <c r="A349" s="5">
        <v>348.0</v>
      </c>
      <c r="B349" s="5" t="s">
        <v>519</v>
      </c>
      <c r="C349" s="5" t="s">
        <v>520</v>
      </c>
      <c r="D349" s="6">
        <f>IFERROR(__xludf.DUMMYFUNCTION("SPLIT(MID(C349,2,LEN(C349)-2), "","")"),1941.0)</f>
        <v>1941</v>
      </c>
      <c r="E349" s="7"/>
      <c r="F349" s="7"/>
      <c r="G349" s="2" t="str">
        <f t="array" ref="G349">IF(ISBLANK(D349), "", INDEX(Categories!$B:$B,MATCH(D349,Categories!$A:$A,0)))</f>
        <v>Electric Equipment &amp; Supplies Wholesale &amp; Manufacturers</v>
      </c>
      <c r="H349" s="7" t="str">
        <f t="array" ref="H349">IF(ISBLANK(E349), "", INDEX(Categories!$B:$B,MATCH(E349,Categories!$A:$A,0)))</f>
        <v/>
      </c>
      <c r="I349" s="7" t="str">
        <f t="array" ref="I349">IF(ISBLANK(F349), "", INDEX(Categories!$B:$B,MATCH(F349,Categories!$A:$A,0)))</f>
        <v/>
      </c>
      <c r="J349" s="4"/>
      <c r="K349" s="4"/>
      <c r="L349" s="4"/>
      <c r="M349" s="4"/>
      <c r="N349" s="4"/>
      <c r="O349" s="4"/>
      <c r="P349" s="4"/>
      <c r="Q349" s="4"/>
    </row>
    <row r="350">
      <c r="A350" s="5">
        <v>349.0</v>
      </c>
      <c r="B350" s="5" t="s">
        <v>521</v>
      </c>
      <c r="C350" s="5" t="s">
        <v>522</v>
      </c>
      <c r="D350" s="6">
        <f>IFERROR(__xludf.DUMMYFUNCTION("SPLIT(MID(C350,2,LEN(C350)-2), "","")"),683.0)</f>
        <v>683</v>
      </c>
      <c r="E350" s="7"/>
      <c r="F350" s="7"/>
      <c r="G350" s="2" t="str">
        <f t="array" ref="G350">IF(ISBLANK(D350), "", INDEX(Categories!$B:$B,MATCH(D350,Categories!$A:$A,0)))</f>
        <v>Bakeries</v>
      </c>
      <c r="H350" s="7" t="str">
        <f t="array" ref="H350">IF(ISBLANK(E350), "", INDEX(Categories!$B:$B,MATCH(E350,Categories!$A:$A,0)))</f>
        <v/>
      </c>
      <c r="I350" s="7" t="str">
        <f t="array" ref="I350">IF(ISBLANK(F350), "", INDEX(Categories!$B:$B,MATCH(F350,Categories!$A:$A,0)))</f>
        <v/>
      </c>
      <c r="J350" s="4"/>
      <c r="K350" s="4"/>
      <c r="L350" s="4"/>
      <c r="M350" s="4"/>
      <c r="N350" s="4"/>
      <c r="O350" s="4"/>
      <c r="P350" s="4"/>
      <c r="Q350" s="4"/>
    </row>
    <row r="351">
      <c r="A351" s="5">
        <v>350.0</v>
      </c>
      <c r="B351" s="5" t="s">
        <v>523</v>
      </c>
      <c r="C351" s="5" t="s">
        <v>58</v>
      </c>
      <c r="D351" s="6">
        <f>IFERROR(__xludf.DUMMYFUNCTION("SPLIT(MID(C351,2,LEN(C351)-2), "","")"),1170.0)</f>
        <v>1170</v>
      </c>
      <c r="E351" s="7"/>
      <c r="F351" s="7"/>
      <c r="G351" s="2" t="str">
        <f t="array" ref="G351">IF(ISBLANK(D351), "", INDEX(Categories!$B:$B,MATCH(D351,Categories!$A:$A,0)))</f>
        <v>Gasoline Retail</v>
      </c>
      <c r="H351" s="7" t="str">
        <f t="array" ref="H351">IF(ISBLANK(E351), "", INDEX(Categories!$B:$B,MATCH(E351,Categories!$A:$A,0)))</f>
        <v/>
      </c>
      <c r="I351" s="7" t="str">
        <f t="array" ref="I351">IF(ISBLANK(F351), "", INDEX(Categories!$B:$B,MATCH(F351,Categories!$A:$A,0)))</f>
        <v/>
      </c>
      <c r="J351" s="4"/>
      <c r="K351" s="4"/>
      <c r="L351" s="4"/>
      <c r="M351" s="4"/>
      <c r="N351" s="4"/>
      <c r="O351" s="4"/>
      <c r="P351" s="4"/>
      <c r="Q351" s="4"/>
    </row>
    <row r="352">
      <c r="A352" s="5">
        <v>351.0</v>
      </c>
      <c r="B352" s="5" t="s">
        <v>524</v>
      </c>
      <c r="C352" s="5" t="s">
        <v>499</v>
      </c>
      <c r="D352" s="6">
        <f>IFERROR(__xludf.DUMMYFUNCTION("SPLIT(MID(C352,2,LEN(C352)-2), "","")"),941.0)</f>
        <v>941</v>
      </c>
      <c r="E352" s="7"/>
      <c r="F352" s="7"/>
      <c r="G352" s="2" t="str">
        <f t="array" ref="G352">IF(ISBLANK(D352), "", INDEX(Categories!$B:$B,MATCH(D352,Categories!$A:$A,0)))</f>
        <v>Trust Companies &amp; Services</v>
      </c>
      <c r="H352" s="7" t="str">
        <f t="array" ref="H352">IF(ISBLANK(E352), "", INDEX(Categories!$B:$B,MATCH(E352,Categories!$A:$A,0)))</f>
        <v/>
      </c>
      <c r="I352" s="7" t="str">
        <f t="array" ref="I352">IF(ISBLANK(F352), "", INDEX(Categories!$B:$B,MATCH(F352,Categories!$A:$A,0)))</f>
        <v/>
      </c>
      <c r="J352" s="4"/>
      <c r="K352" s="4"/>
      <c r="L352" s="4"/>
      <c r="M352" s="4"/>
      <c r="N352" s="4"/>
      <c r="O352" s="4"/>
      <c r="P352" s="4"/>
      <c r="Q352" s="4"/>
    </row>
    <row r="353">
      <c r="A353" s="5">
        <v>352.0</v>
      </c>
      <c r="B353" s="5" t="s">
        <v>525</v>
      </c>
      <c r="C353" s="5" t="s">
        <v>207</v>
      </c>
      <c r="D353" s="6">
        <f>IFERROR(__xludf.DUMMYFUNCTION("SPLIT(MID(C353,2,LEN(C353)-2), "","")"),1920.0)</f>
        <v>1920</v>
      </c>
      <c r="E353" s="7"/>
      <c r="F353" s="7"/>
      <c r="G353" s="2" t="str">
        <f t="array" ref="G353">IF(ISBLANK(D353), "", INDEX(Categories!$B:$B,MATCH(D353,Categories!$A:$A,0)))</f>
        <v>Medical Laboratories</v>
      </c>
      <c r="H353" s="7" t="str">
        <f t="array" ref="H353">IF(ISBLANK(E353), "", INDEX(Categories!$B:$B,MATCH(E353,Categories!$A:$A,0)))</f>
        <v/>
      </c>
      <c r="I353" s="7" t="str">
        <f t="array" ref="I353">IF(ISBLANK(F353), "", INDEX(Categories!$B:$B,MATCH(F353,Categories!$A:$A,0)))</f>
        <v/>
      </c>
      <c r="J353" s="4"/>
      <c r="K353" s="4"/>
      <c r="L353" s="4"/>
      <c r="M353" s="4"/>
      <c r="N353" s="4"/>
      <c r="O353" s="4"/>
      <c r="P353" s="4"/>
      <c r="Q353" s="4"/>
    </row>
    <row r="354">
      <c r="A354" s="5">
        <v>353.0</v>
      </c>
      <c r="B354" s="5" t="s">
        <v>526</v>
      </c>
      <c r="C354" s="5" t="s">
        <v>12</v>
      </c>
      <c r="D354" s="6">
        <f>IFERROR(__xludf.DUMMYFUNCTION("SPLIT(MID(C354,2,LEN(C354)-2), "","")"),469.0)</f>
        <v>469</v>
      </c>
      <c r="E354" s="7"/>
      <c r="F354" s="7"/>
      <c r="G354" s="2" t="str">
        <f t="array" ref="G354">IF(ISBLANK(D354), "", INDEX(Categories!$B:$B,MATCH(D354,Categories!$A:$A,0)))</f>
        <v>Automobile - Repairs &amp; Services</v>
      </c>
      <c r="H354" s="7" t="str">
        <f t="array" ref="H354">IF(ISBLANK(E354), "", INDEX(Categories!$B:$B,MATCH(E354,Categories!$A:$A,0)))</f>
        <v/>
      </c>
      <c r="I354" s="7" t="str">
        <f t="array" ref="I354">IF(ISBLANK(F354), "", INDEX(Categories!$B:$B,MATCH(F354,Categories!$A:$A,0)))</f>
        <v/>
      </c>
      <c r="J354" s="4"/>
      <c r="K354" s="4"/>
      <c r="L354" s="4"/>
      <c r="M354" s="4"/>
      <c r="N354" s="4"/>
      <c r="O354" s="4"/>
      <c r="P354" s="4"/>
      <c r="Q354" s="4"/>
    </row>
    <row r="355">
      <c r="A355" s="5">
        <v>354.0</v>
      </c>
      <c r="B355" s="5" t="s">
        <v>527</v>
      </c>
      <c r="C355" s="5" t="s">
        <v>528</v>
      </c>
      <c r="D355" s="6">
        <f>IFERROR(__xludf.DUMMYFUNCTION("SPLIT(MID(C355,2,LEN(C355)-2), "","")"),938.0)</f>
        <v>938</v>
      </c>
      <c r="E355" s="7"/>
      <c r="F355" s="7"/>
      <c r="G355" s="2" t="str">
        <f t="array" ref="G355">IF(ISBLANK(D355), "", INDEX(Categories!$B:$B,MATCH(D355,Categories!$A:$A,0)))</f>
        <v>Mortgages Brokers</v>
      </c>
      <c r="H355" s="7" t="str">
        <f t="array" ref="H355">IF(ISBLANK(E355), "", INDEX(Categories!$B:$B,MATCH(E355,Categories!$A:$A,0)))</f>
        <v/>
      </c>
      <c r="I355" s="7" t="str">
        <f t="array" ref="I355">IF(ISBLANK(F355), "", INDEX(Categories!$B:$B,MATCH(F355,Categories!$A:$A,0)))</f>
        <v/>
      </c>
      <c r="J355" s="4"/>
      <c r="K355" s="4"/>
      <c r="L355" s="4"/>
      <c r="M355" s="4"/>
      <c r="N355" s="4"/>
      <c r="O355" s="4"/>
      <c r="P355" s="4"/>
      <c r="Q355" s="4"/>
    </row>
    <row r="356">
      <c r="A356" s="5">
        <v>355.0</v>
      </c>
      <c r="B356" s="5" t="s">
        <v>529</v>
      </c>
      <c r="C356" s="5" t="s">
        <v>34</v>
      </c>
      <c r="D356" s="6">
        <f>IFERROR(__xludf.DUMMYFUNCTION("SPLIT(MID(C356,2,LEN(C356)-2), "","")"),228.0)</f>
        <v>228</v>
      </c>
      <c r="E356" s="7"/>
      <c r="F356" s="7"/>
      <c r="G356" s="2" t="str">
        <f t="array" ref="G356">IF(ISBLANK(D356), "", INDEX(Categories!$B:$B,MATCH(D356,Categories!$A:$A,0)))</f>
        <v>Restaurants</v>
      </c>
      <c r="H356" s="7" t="str">
        <f t="array" ref="H356">IF(ISBLANK(E356), "", INDEX(Categories!$B:$B,MATCH(E356,Categories!$A:$A,0)))</f>
        <v/>
      </c>
      <c r="I356" s="7" t="str">
        <f t="array" ref="I356">IF(ISBLANK(F356), "", INDEX(Categories!$B:$B,MATCH(F356,Categories!$A:$A,0)))</f>
        <v/>
      </c>
      <c r="J356" s="4"/>
      <c r="K356" s="4"/>
      <c r="L356" s="4"/>
      <c r="M356" s="4"/>
      <c r="N356" s="4"/>
      <c r="O356" s="4"/>
      <c r="P356" s="4"/>
      <c r="Q356" s="4"/>
    </row>
    <row r="357">
      <c r="A357" s="5">
        <v>356.0</v>
      </c>
      <c r="B357" s="5" t="s">
        <v>530</v>
      </c>
      <c r="C357" s="5" t="s">
        <v>531</v>
      </c>
      <c r="D357" s="6">
        <f>IFERROR(__xludf.DUMMYFUNCTION("SPLIT(MID(C357,2,LEN(C357)-2), "","")"),2486.0)</f>
        <v>2486</v>
      </c>
      <c r="E357" s="7"/>
      <c r="F357" s="7"/>
      <c r="G357" s="2" t="str">
        <f t="array" ref="G357">IF(ISBLANK(D357), "", INDEX(Categories!$B:$B,MATCH(D357,Categories!$A:$A,0)))</f>
        <v>Community Action Agencies</v>
      </c>
      <c r="H357" s="7" t="str">
        <f t="array" ref="H357">IF(ISBLANK(E357), "", INDEX(Categories!$B:$B,MATCH(E357,Categories!$A:$A,0)))</f>
        <v/>
      </c>
      <c r="I357" s="7" t="str">
        <f t="array" ref="I357">IF(ISBLANK(F357), "", INDEX(Categories!$B:$B,MATCH(F357,Categories!$A:$A,0)))</f>
        <v/>
      </c>
      <c r="J357" s="4"/>
      <c r="K357" s="4"/>
      <c r="L357" s="4"/>
      <c r="M357" s="4"/>
      <c r="N357" s="4"/>
      <c r="O357" s="4"/>
      <c r="P357" s="4"/>
      <c r="Q357" s="4"/>
    </row>
    <row r="358">
      <c r="A358" s="5">
        <v>357.0</v>
      </c>
      <c r="B358" s="5" t="s">
        <v>532</v>
      </c>
      <c r="C358" s="5" t="s">
        <v>300</v>
      </c>
      <c r="D358" s="6">
        <f>IFERROR(__xludf.DUMMYFUNCTION("SPLIT(MID(C358,2,LEN(C358)-2), "","")"),1105.0)</f>
        <v>1105</v>
      </c>
      <c r="E358" s="7"/>
      <c r="F358" s="7"/>
      <c r="G358" s="2" t="str">
        <f t="array" ref="G358">IF(ISBLANK(D358), "", INDEX(Categories!$B:$B,MATCH(D358,Categories!$A:$A,0)))</f>
        <v>Travel &amp; Tourism</v>
      </c>
      <c r="H358" s="7" t="str">
        <f t="array" ref="H358">IF(ISBLANK(E358), "", INDEX(Categories!$B:$B,MATCH(E358,Categories!$A:$A,0)))</f>
        <v/>
      </c>
      <c r="I358" s="7" t="str">
        <f t="array" ref="I358">IF(ISBLANK(F358), "", INDEX(Categories!$B:$B,MATCH(F358,Categories!$A:$A,0)))</f>
        <v/>
      </c>
      <c r="J358" s="4"/>
      <c r="K358" s="4"/>
      <c r="L358" s="4"/>
      <c r="M358" s="4"/>
      <c r="N358" s="4"/>
      <c r="O358" s="4"/>
      <c r="P358" s="4"/>
      <c r="Q358" s="4"/>
    </row>
    <row r="359">
      <c r="A359" s="5">
        <v>358.0</v>
      </c>
      <c r="B359" s="5" t="s">
        <v>533</v>
      </c>
      <c r="C359" s="5" t="s">
        <v>10</v>
      </c>
      <c r="D359" s="6">
        <f>IFERROR(__xludf.DUMMYFUNCTION("SPLIT(MID(C359,2,LEN(C359)-2), "","")"),1168.0)</f>
        <v>1168</v>
      </c>
      <c r="E359" s="7"/>
      <c r="F359" s="7"/>
      <c r="G359" s="2" t="str">
        <f t="array" ref="G359">IF(ISBLANK(D359), "", INDEX(Categories!$B:$B,MATCH(D359,Categories!$A:$A,0)))</f>
        <v>Convenience Stores</v>
      </c>
      <c r="H359" s="7" t="str">
        <f t="array" ref="H359">IF(ISBLANK(E359), "", INDEX(Categories!$B:$B,MATCH(E359,Categories!$A:$A,0)))</f>
        <v/>
      </c>
      <c r="I359" s="7" t="str">
        <f t="array" ref="I359">IF(ISBLANK(F359), "", INDEX(Categories!$B:$B,MATCH(F359,Categories!$A:$A,0)))</f>
        <v/>
      </c>
      <c r="J359" s="4"/>
      <c r="K359" s="4"/>
      <c r="L359" s="4"/>
      <c r="M359" s="4"/>
      <c r="N359" s="4"/>
      <c r="O359" s="4"/>
      <c r="P359" s="4"/>
      <c r="Q359" s="4"/>
    </row>
    <row r="360">
      <c r="A360" s="5">
        <v>359.0</v>
      </c>
      <c r="B360" s="5" t="s">
        <v>534</v>
      </c>
      <c r="C360" s="5" t="s">
        <v>463</v>
      </c>
      <c r="D360" s="6">
        <f>IFERROR(__xludf.DUMMYFUNCTION("SPLIT(MID(C360,2,LEN(C360)-2), "","")"),2604.0)</f>
        <v>2604</v>
      </c>
      <c r="E360" s="7"/>
      <c r="F360" s="7"/>
      <c r="G360" s="2" t="str">
        <f t="array" ref="G360">IF(ISBLANK(D360), "", INDEX(Categories!$B:$B,MATCH(D360,Categories!$A:$A,0)))</f>
        <v>Health Clubs</v>
      </c>
      <c r="H360" s="7" t="str">
        <f t="array" ref="H360">IF(ISBLANK(E360), "", INDEX(Categories!$B:$B,MATCH(E360,Categories!$A:$A,0)))</f>
        <v/>
      </c>
      <c r="I360" s="7" t="str">
        <f t="array" ref="I360">IF(ISBLANK(F360), "", INDEX(Categories!$B:$B,MATCH(F360,Categories!$A:$A,0)))</f>
        <v/>
      </c>
      <c r="J360" s="4"/>
      <c r="K360" s="4"/>
      <c r="L360" s="4"/>
      <c r="M360" s="4"/>
      <c r="N360" s="4"/>
      <c r="O360" s="4"/>
      <c r="P360" s="4"/>
      <c r="Q360" s="4"/>
    </row>
    <row r="361">
      <c r="A361" s="5">
        <v>360.0</v>
      </c>
      <c r="B361" s="5" t="s">
        <v>535</v>
      </c>
      <c r="C361" s="5" t="s">
        <v>536</v>
      </c>
      <c r="D361" s="6">
        <f>IFERROR(__xludf.DUMMYFUNCTION("SPLIT(MID(C361,2,LEN(C361)-2), "","")"),1416.0)</f>
        <v>1416</v>
      </c>
      <c r="E361" s="7"/>
      <c r="F361" s="7"/>
      <c r="G361" s="2" t="str">
        <f t="array" ref="G361">IF(ISBLANK(D361), "", INDEX(Categories!$B:$B,MATCH(D361,Categories!$A:$A,0)))</f>
        <v>Schools Motivational &amp; Self Improvement</v>
      </c>
      <c r="H361" s="7" t="str">
        <f t="array" ref="H361">IF(ISBLANK(E361), "", INDEX(Categories!$B:$B,MATCH(E361,Categories!$A:$A,0)))</f>
        <v/>
      </c>
      <c r="I361" s="7" t="str">
        <f t="array" ref="I361">IF(ISBLANK(F361), "", INDEX(Categories!$B:$B,MATCH(F361,Categories!$A:$A,0)))</f>
        <v/>
      </c>
      <c r="J361" s="4"/>
      <c r="K361" s="4"/>
      <c r="L361" s="4"/>
      <c r="M361" s="4"/>
      <c r="N361" s="4"/>
      <c r="O361" s="4"/>
      <c r="P361" s="4"/>
      <c r="Q361" s="4"/>
    </row>
    <row r="362">
      <c r="A362" s="5">
        <v>361.0</v>
      </c>
      <c r="B362" s="5" t="s">
        <v>537</v>
      </c>
      <c r="C362" s="5" t="s">
        <v>538</v>
      </c>
      <c r="D362" s="6">
        <f>IFERROR(__xludf.DUMMYFUNCTION("SPLIT(MID(C362,2,LEN(C362)-2), "","")"),1132.0)</f>
        <v>1132</v>
      </c>
      <c r="E362" s="7"/>
      <c r="F362" s="7"/>
      <c r="G362" s="2" t="str">
        <f t="array" ref="G362">IF(ISBLANK(D362), "", INDEX(Categories!$B:$B,MATCH(D362,Categories!$A:$A,0)))</f>
        <v>Contractors - Tile, Marble &amp; Granite</v>
      </c>
      <c r="H362" s="7" t="str">
        <f t="array" ref="H362">IF(ISBLANK(E362), "", INDEX(Categories!$B:$B,MATCH(E362,Categories!$A:$A,0)))</f>
        <v/>
      </c>
      <c r="I362" s="7" t="str">
        <f t="array" ref="I362">IF(ISBLANK(F362), "", INDEX(Categories!$B:$B,MATCH(F362,Categories!$A:$A,0)))</f>
        <v/>
      </c>
      <c r="J362" s="4"/>
      <c r="K362" s="4"/>
      <c r="L362" s="4"/>
      <c r="M362" s="4"/>
      <c r="N362" s="4"/>
      <c r="O362" s="4"/>
      <c r="P362" s="4"/>
      <c r="Q362" s="4"/>
    </row>
    <row r="363">
      <c r="A363" s="5">
        <v>362.0</v>
      </c>
      <c r="B363" s="5" t="s">
        <v>539</v>
      </c>
      <c r="C363" s="5" t="s">
        <v>99</v>
      </c>
      <c r="D363" s="6">
        <f>IFERROR(__xludf.DUMMYFUNCTION("SPLIT(MID(C363,2,LEN(C363)-2), "","")"),2331.0)</f>
        <v>2331</v>
      </c>
      <c r="E363" s="7"/>
      <c r="F363" s="7"/>
      <c r="G363" s="2" t="str">
        <f t="array" ref="G363">IF(ISBLANK(D363), "", INDEX(Categories!$B:$B,MATCH(D363,Categories!$A:$A,0)))</f>
        <v>Donuts</v>
      </c>
      <c r="H363" s="7" t="str">
        <f t="array" ref="H363">IF(ISBLANK(E363), "", INDEX(Categories!$B:$B,MATCH(E363,Categories!$A:$A,0)))</f>
        <v/>
      </c>
      <c r="I363" s="7" t="str">
        <f t="array" ref="I363">IF(ISBLANK(F363), "", INDEX(Categories!$B:$B,MATCH(F363,Categories!$A:$A,0)))</f>
        <v/>
      </c>
      <c r="J363" s="4"/>
      <c r="K363" s="4"/>
      <c r="L363" s="4"/>
      <c r="M363" s="4"/>
      <c r="N363" s="4"/>
      <c r="O363" s="4"/>
      <c r="P363" s="4"/>
      <c r="Q363" s="4"/>
    </row>
    <row r="364">
      <c r="A364" s="5">
        <v>363.0</v>
      </c>
      <c r="B364" s="5" t="s">
        <v>540</v>
      </c>
      <c r="C364" s="5" t="s">
        <v>541</v>
      </c>
      <c r="D364" s="6">
        <f>IFERROR(__xludf.DUMMYFUNCTION("SPLIT(MID(C364,2,LEN(C364)-2), "","")"),2654.0)</f>
        <v>2654</v>
      </c>
      <c r="E364" s="7"/>
      <c r="F364" s="7"/>
      <c r="G364" s="2" t="str">
        <f t="array" ref="G364">IF(ISBLANK(D364), "", INDEX(Categories!$B:$B,MATCH(D364,Categories!$A:$A,0)))</f>
        <v>Picture Frame Dealers</v>
      </c>
      <c r="H364" s="7" t="str">
        <f t="array" ref="H364">IF(ISBLANK(E364), "", INDEX(Categories!$B:$B,MATCH(E364,Categories!$A:$A,0)))</f>
        <v/>
      </c>
      <c r="I364" s="7" t="str">
        <f t="array" ref="I364">IF(ISBLANK(F364), "", INDEX(Categories!$B:$B,MATCH(F364,Categories!$A:$A,0)))</f>
        <v/>
      </c>
      <c r="J364" s="4"/>
      <c r="K364" s="4"/>
      <c r="L364" s="4"/>
      <c r="M364" s="4"/>
      <c r="N364" s="4"/>
      <c r="O364" s="4"/>
      <c r="P364" s="4"/>
      <c r="Q364" s="4"/>
    </row>
    <row r="365">
      <c r="A365" s="5">
        <v>364.0</v>
      </c>
      <c r="B365" s="5" t="s">
        <v>542</v>
      </c>
      <c r="C365" s="5" t="s">
        <v>543</v>
      </c>
      <c r="D365" s="6">
        <f>IFERROR(__xludf.DUMMYFUNCTION("SPLIT(MID(C365,2,LEN(C365)-2), "","")"),727.0)</f>
        <v>727</v>
      </c>
      <c r="E365" s="7"/>
      <c r="F365" s="7"/>
      <c r="G365" s="2" t="str">
        <f t="array" ref="G365">IF(ISBLANK(D365), "", INDEX(Categories!$B:$B,MATCH(D365,Categories!$A:$A,0)))</f>
        <v>Airlines &amp; Airports</v>
      </c>
      <c r="H365" s="7" t="str">
        <f t="array" ref="H365">IF(ISBLANK(E365), "", INDEX(Categories!$B:$B,MATCH(E365,Categories!$A:$A,0)))</f>
        <v/>
      </c>
      <c r="I365" s="7" t="str">
        <f t="array" ref="I365">IF(ISBLANK(F365), "", INDEX(Categories!$B:$B,MATCH(F365,Categories!$A:$A,0)))</f>
        <v/>
      </c>
      <c r="J365" s="4"/>
      <c r="K365" s="4"/>
      <c r="L365" s="4"/>
      <c r="M365" s="4"/>
      <c r="N365" s="4"/>
      <c r="O365" s="4"/>
      <c r="P365" s="4"/>
      <c r="Q365" s="4"/>
    </row>
    <row r="366">
      <c r="A366" s="5">
        <v>365.0</v>
      </c>
      <c r="B366" s="5" t="s">
        <v>544</v>
      </c>
      <c r="C366" s="5" t="s">
        <v>341</v>
      </c>
      <c r="D366" s="6">
        <f>IFERROR(__xludf.DUMMYFUNCTION("SPLIT(MID(C366,2,LEN(C366)-2), "","")"),2499.0)</f>
        <v>2499</v>
      </c>
      <c r="E366" s="7"/>
      <c r="F366" s="7"/>
      <c r="G366" s="2" t="str">
        <f t="array" ref="G366">IF(ISBLANK(D366), "", INDEX(Categories!$B:$B,MATCH(D366,Categories!$A:$A,0)))</f>
        <v>Diet, Nutrition &amp; Weight Management</v>
      </c>
      <c r="H366" s="7" t="str">
        <f t="array" ref="H366">IF(ISBLANK(E366), "", INDEX(Categories!$B:$B,MATCH(E366,Categories!$A:$A,0)))</f>
        <v/>
      </c>
      <c r="I366" s="7" t="str">
        <f t="array" ref="I366">IF(ISBLANK(F366), "", INDEX(Categories!$B:$B,MATCH(F366,Categories!$A:$A,0)))</f>
        <v/>
      </c>
      <c r="J366" s="4"/>
      <c r="K366" s="4"/>
      <c r="L366" s="4"/>
      <c r="M366" s="4"/>
      <c r="N366" s="4"/>
      <c r="O366" s="4"/>
      <c r="P366" s="4"/>
      <c r="Q366" s="4"/>
    </row>
    <row r="367">
      <c r="A367" s="5">
        <v>366.0</v>
      </c>
      <c r="B367" s="5" t="s">
        <v>545</v>
      </c>
      <c r="C367" s="5" t="s">
        <v>546</v>
      </c>
      <c r="D367" s="6">
        <f>IFERROR(__xludf.DUMMYFUNCTION("SPLIT(MID(C367,2,LEN(C367)-2), "","")"),716.0)</f>
        <v>716</v>
      </c>
      <c r="E367" s="7"/>
      <c r="F367" s="7"/>
      <c r="G367" s="2" t="str">
        <f t="array" ref="G367">IF(ISBLANK(D367), "", INDEX(Categories!$B:$B,MATCH(D367,Categories!$A:$A,0)))</f>
        <v>Computer &amp; Computer Equipment Dealers</v>
      </c>
      <c r="H367" s="7" t="str">
        <f t="array" ref="H367">IF(ISBLANK(E367), "", INDEX(Categories!$B:$B,MATCH(E367,Categories!$A:$A,0)))</f>
        <v/>
      </c>
      <c r="I367" s="7" t="str">
        <f t="array" ref="I367">IF(ISBLANK(F367), "", INDEX(Categories!$B:$B,MATCH(F367,Categories!$A:$A,0)))</f>
        <v/>
      </c>
      <c r="J367" s="4"/>
      <c r="K367" s="4"/>
      <c r="L367" s="4"/>
      <c r="M367" s="4"/>
      <c r="N367" s="4"/>
      <c r="O367" s="4"/>
      <c r="P367" s="4"/>
      <c r="Q367" s="4"/>
    </row>
    <row r="368">
      <c r="A368" s="5">
        <v>367.0</v>
      </c>
      <c r="B368" s="5" t="s">
        <v>547</v>
      </c>
      <c r="C368" s="5" t="s">
        <v>255</v>
      </c>
      <c r="D368" s="6">
        <f>IFERROR(__xludf.DUMMYFUNCTION("SPLIT(MID(C368,2,LEN(C368)-2), "","")"),1462.0)</f>
        <v>1462</v>
      </c>
      <c r="E368" s="7"/>
      <c r="F368" s="7"/>
      <c r="G368" s="2" t="str">
        <f t="array" ref="G368">IF(ISBLANK(D368), "", INDEX(Categories!$B:$B,MATCH(D368,Categories!$A:$A,0)))</f>
        <v>Toys Retail</v>
      </c>
      <c r="H368" s="7" t="str">
        <f t="array" ref="H368">IF(ISBLANK(E368), "", INDEX(Categories!$B:$B,MATCH(E368,Categories!$A:$A,0)))</f>
        <v/>
      </c>
      <c r="I368" s="7" t="str">
        <f t="array" ref="I368">IF(ISBLANK(F368), "", INDEX(Categories!$B:$B,MATCH(F368,Categories!$A:$A,0)))</f>
        <v/>
      </c>
      <c r="J368" s="4"/>
      <c r="K368" s="4"/>
      <c r="L368" s="4"/>
      <c r="M368" s="4"/>
      <c r="N368" s="4"/>
      <c r="O368" s="4"/>
      <c r="P368" s="4"/>
      <c r="Q368" s="4"/>
    </row>
    <row r="369">
      <c r="A369" s="5">
        <v>368.0</v>
      </c>
      <c r="B369" s="5" t="s">
        <v>548</v>
      </c>
      <c r="C369" s="5" t="s">
        <v>549</v>
      </c>
      <c r="D369" s="6">
        <f>IFERROR(__xludf.DUMMYFUNCTION("SPLIT(MID(C369,2,LEN(C369)-2), "","")"),1455.0)</f>
        <v>1455</v>
      </c>
      <c r="E369" s="7"/>
      <c r="F369" s="7"/>
      <c r="G369" s="2" t="str">
        <f t="array" ref="G369">IF(ISBLANK(D369), "", INDEX(Categories!$B:$B,MATCH(D369,Categories!$A:$A,0)))</f>
        <v>Toy &amp; Game Stores</v>
      </c>
      <c r="H369" s="7" t="str">
        <f t="array" ref="H369">IF(ISBLANK(E369), "", INDEX(Categories!$B:$B,MATCH(E369,Categories!$A:$A,0)))</f>
        <v/>
      </c>
      <c r="I369" s="7" t="str">
        <f t="array" ref="I369">IF(ISBLANK(F369), "", INDEX(Categories!$B:$B,MATCH(F369,Categories!$A:$A,0)))</f>
        <v/>
      </c>
      <c r="J369" s="4"/>
      <c r="K369" s="4"/>
      <c r="L369" s="4"/>
      <c r="M369" s="4"/>
      <c r="N369" s="4"/>
      <c r="O369" s="4"/>
      <c r="P369" s="4"/>
      <c r="Q369" s="4"/>
    </row>
    <row r="370">
      <c r="A370" s="5">
        <v>369.0</v>
      </c>
      <c r="B370" s="5" t="s">
        <v>550</v>
      </c>
      <c r="C370" s="5" t="s">
        <v>41</v>
      </c>
      <c r="D370" s="6">
        <f>IFERROR(__xludf.DUMMYFUNCTION("SPLIT(MID(C370,2,LEN(C370)-2), "","")"),93.0)</f>
        <v>93</v>
      </c>
      <c r="E370" s="7"/>
      <c r="F370" s="7"/>
      <c r="G370" s="2" t="str">
        <f t="array" ref="G370">IF(ISBLANK(D370), "", INDEX(Categories!$B:$B,MATCH(D370,Categories!$A:$A,0)))</f>
        <v>Automobile - Rentals</v>
      </c>
      <c r="H370" s="7" t="str">
        <f t="array" ref="H370">IF(ISBLANK(E370), "", INDEX(Categories!$B:$B,MATCH(E370,Categories!$A:$A,0)))</f>
        <v/>
      </c>
      <c r="I370" s="7" t="str">
        <f t="array" ref="I370">IF(ISBLANK(F370), "", INDEX(Categories!$B:$B,MATCH(F370,Categories!$A:$A,0)))</f>
        <v/>
      </c>
      <c r="J370" s="4"/>
      <c r="K370" s="4"/>
      <c r="L370" s="4"/>
      <c r="M370" s="4"/>
      <c r="N370" s="4"/>
      <c r="O370" s="4"/>
      <c r="P370" s="4"/>
      <c r="Q370" s="4"/>
    </row>
    <row r="371">
      <c r="A371" s="5">
        <v>370.0</v>
      </c>
      <c r="B371" s="5" t="s">
        <v>551</v>
      </c>
      <c r="C371" s="5" t="s">
        <v>232</v>
      </c>
      <c r="D371" s="6">
        <f>IFERROR(__xludf.DUMMYFUNCTION("SPLIT(MID(C371,2,LEN(C371)-2), "","")"),956.0)</f>
        <v>956</v>
      </c>
      <c r="E371" s="7"/>
      <c r="F371" s="7"/>
      <c r="G371" s="2" t="str">
        <f t="array" ref="G371">IF(ISBLANK(D371), "", INDEX(Categories!$B:$B,MATCH(D371,Categories!$A:$A,0)))</f>
        <v>Painting Supplies</v>
      </c>
      <c r="H371" s="7" t="str">
        <f t="array" ref="H371">IF(ISBLANK(E371), "", INDEX(Categories!$B:$B,MATCH(E371,Categories!$A:$A,0)))</f>
        <v/>
      </c>
      <c r="I371" s="7" t="str">
        <f t="array" ref="I371">IF(ISBLANK(F371), "", INDEX(Categories!$B:$B,MATCH(F371,Categories!$A:$A,0)))</f>
        <v/>
      </c>
      <c r="J371" s="4"/>
      <c r="K371" s="4"/>
      <c r="L371" s="4"/>
      <c r="M371" s="4"/>
      <c r="N371" s="4"/>
      <c r="O371" s="4"/>
      <c r="P371" s="4"/>
      <c r="Q371" s="4"/>
    </row>
    <row r="372">
      <c r="A372" s="5">
        <v>371.0</v>
      </c>
      <c r="B372" s="5" t="s">
        <v>552</v>
      </c>
      <c r="C372" s="5" t="s">
        <v>553</v>
      </c>
      <c r="D372" s="6">
        <f>IFERROR(__xludf.DUMMYFUNCTION("SPLIT(MID(C372,2,LEN(C372)-2), "","")"),739.0)</f>
        <v>739</v>
      </c>
      <c r="E372" s="7"/>
      <c r="F372" s="7"/>
      <c r="G372" s="2" t="str">
        <f t="array" ref="G372">IF(ISBLANK(D372), "", INDEX(Categories!$B:$B,MATCH(D372,Categories!$A:$A,0)))</f>
        <v>Shoes &amp; Shoe Repairs</v>
      </c>
      <c r="H372" s="7" t="str">
        <f t="array" ref="H372">IF(ISBLANK(E372), "", INDEX(Categories!$B:$B,MATCH(E372,Categories!$A:$A,0)))</f>
        <v/>
      </c>
      <c r="I372" s="7" t="str">
        <f t="array" ref="I372">IF(ISBLANK(F372), "", INDEX(Categories!$B:$B,MATCH(F372,Categories!$A:$A,0)))</f>
        <v/>
      </c>
      <c r="J372" s="4"/>
      <c r="K372" s="4"/>
      <c r="L372" s="4"/>
      <c r="M372" s="4"/>
      <c r="N372" s="4"/>
      <c r="O372" s="4"/>
      <c r="P372" s="4"/>
      <c r="Q372" s="4"/>
    </row>
    <row r="373">
      <c r="A373" s="5">
        <v>372.0</v>
      </c>
      <c r="B373" s="5" t="s">
        <v>554</v>
      </c>
      <c r="C373" s="5" t="s">
        <v>303</v>
      </c>
      <c r="D373" s="6">
        <f>IFERROR(__xludf.DUMMYFUNCTION("SPLIT(MID(C373,2,LEN(C373)-2), "","")"),1241.0)</f>
        <v>1241</v>
      </c>
      <c r="E373" s="7"/>
      <c r="F373" s="7"/>
      <c r="G373" s="2" t="str">
        <f t="array" ref="G373">IF(ISBLANK(D373), "", INDEX(Categories!$B:$B,MATCH(D373,Categories!$A:$A,0)))</f>
        <v>Clothing &amp; Accessories</v>
      </c>
      <c r="H373" s="7" t="str">
        <f t="array" ref="H373">IF(ISBLANK(E373), "", INDEX(Categories!$B:$B,MATCH(E373,Categories!$A:$A,0)))</f>
        <v/>
      </c>
      <c r="I373" s="7" t="str">
        <f t="array" ref="I373">IF(ISBLANK(F373), "", INDEX(Categories!$B:$B,MATCH(F373,Categories!$A:$A,0)))</f>
        <v/>
      </c>
      <c r="J373" s="4"/>
      <c r="K373" s="4"/>
      <c r="L373" s="4"/>
      <c r="M373" s="4"/>
      <c r="N373" s="4"/>
      <c r="O373" s="4"/>
      <c r="P373" s="4"/>
      <c r="Q373" s="4"/>
    </row>
    <row r="374">
      <c r="A374" s="5">
        <v>373.0</v>
      </c>
      <c r="B374" s="5" t="s">
        <v>555</v>
      </c>
      <c r="C374" s="5" t="s">
        <v>484</v>
      </c>
      <c r="D374" s="6">
        <f>IFERROR(__xludf.DUMMYFUNCTION("SPLIT(MID(C374,2,LEN(C374)-2), "","")"),573.0)</f>
        <v>573</v>
      </c>
      <c r="E374" s="7"/>
      <c r="F374" s="7"/>
      <c r="G374" s="2" t="str">
        <f t="array" ref="G374">IF(ISBLANK(D374), "", INDEX(Categories!$B:$B,MATCH(D374,Categories!$A:$A,0)))</f>
        <v>Bagels</v>
      </c>
      <c r="H374" s="7" t="str">
        <f t="array" ref="H374">IF(ISBLANK(E374), "", INDEX(Categories!$B:$B,MATCH(E374,Categories!$A:$A,0)))</f>
        <v/>
      </c>
      <c r="I374" s="7" t="str">
        <f t="array" ref="I374">IF(ISBLANK(F374), "", INDEX(Categories!$B:$B,MATCH(F374,Categories!$A:$A,0)))</f>
        <v/>
      </c>
      <c r="J374" s="4"/>
      <c r="K374" s="4"/>
      <c r="L374" s="4"/>
      <c r="M374" s="4"/>
      <c r="N374" s="4"/>
      <c r="O374" s="4"/>
      <c r="P374" s="4"/>
      <c r="Q374" s="4"/>
    </row>
    <row r="375">
      <c r="A375" s="5">
        <v>374.0</v>
      </c>
      <c r="B375" s="5" t="s">
        <v>556</v>
      </c>
      <c r="C375" s="5" t="s">
        <v>517</v>
      </c>
      <c r="D375" s="6">
        <f>IFERROR(__xludf.DUMMYFUNCTION("SPLIT(MID(C375,2,LEN(C375)-2), "","")"),715.0)</f>
        <v>715</v>
      </c>
      <c r="E375" s="7"/>
      <c r="F375" s="7"/>
      <c r="G375" s="2" t="str">
        <f t="array" ref="G375">IF(ISBLANK(D375), "", INDEX(Categories!$B:$B,MATCH(D375,Categories!$A:$A,0)))</f>
        <v>Electronics - Computers</v>
      </c>
      <c r="H375" s="7" t="str">
        <f t="array" ref="H375">IF(ISBLANK(E375), "", INDEX(Categories!$B:$B,MATCH(E375,Categories!$A:$A,0)))</f>
        <v/>
      </c>
      <c r="I375" s="7" t="str">
        <f t="array" ref="I375">IF(ISBLANK(F375), "", INDEX(Categories!$B:$B,MATCH(F375,Categories!$A:$A,0)))</f>
        <v/>
      </c>
      <c r="J375" s="4"/>
      <c r="K375" s="4"/>
      <c r="L375" s="4"/>
      <c r="M375" s="4"/>
      <c r="N375" s="4"/>
      <c r="O375" s="4"/>
      <c r="P375" s="4"/>
      <c r="Q375" s="4"/>
    </row>
    <row r="376">
      <c r="A376" s="5">
        <v>375.0</v>
      </c>
      <c r="B376" s="5" t="s">
        <v>557</v>
      </c>
      <c r="C376" s="5" t="s">
        <v>155</v>
      </c>
      <c r="D376" s="6">
        <f>IFERROR(__xludf.DUMMYFUNCTION("SPLIT(MID(C376,2,LEN(C376)-2), "","")"),2511.0)</f>
        <v>2511</v>
      </c>
      <c r="E376" s="7"/>
      <c r="F376" s="7"/>
      <c r="G376" s="2" t="str">
        <f t="array" ref="G376">IF(ISBLANK(D376), "", INDEX(Categories!$B:$B,MATCH(D376,Categories!$A:$A,0)))</f>
        <v>Fraternal Organizations</v>
      </c>
      <c r="H376" s="7" t="str">
        <f t="array" ref="H376">IF(ISBLANK(E376), "", INDEX(Categories!$B:$B,MATCH(E376,Categories!$A:$A,0)))</f>
        <v/>
      </c>
      <c r="I376" s="7" t="str">
        <f t="array" ref="I376">IF(ISBLANK(F376), "", INDEX(Categories!$B:$B,MATCH(F376,Categories!$A:$A,0)))</f>
        <v/>
      </c>
      <c r="J376" s="4"/>
      <c r="K376" s="4"/>
      <c r="L376" s="4"/>
      <c r="M376" s="4"/>
      <c r="N376" s="4"/>
      <c r="O376" s="4"/>
      <c r="P376" s="4"/>
      <c r="Q376" s="4"/>
    </row>
    <row r="377">
      <c r="A377" s="5">
        <v>376.0</v>
      </c>
      <c r="B377" s="5" t="s">
        <v>558</v>
      </c>
      <c r="C377" s="5" t="s">
        <v>87</v>
      </c>
      <c r="D377" s="6">
        <f>IFERROR(__xludf.DUMMYFUNCTION("SPLIT(MID(C377,2,LEN(C377)-2), "","")"),168.0)</f>
        <v>168</v>
      </c>
      <c r="E377" s="7"/>
      <c r="F377" s="7"/>
      <c r="G377" s="2" t="str">
        <f t="array" ref="G377">IF(ISBLANK(D377), "", INDEX(Categories!$B:$B,MATCH(D377,Categories!$A:$A,0)))</f>
        <v>Hotels &amp; Motels</v>
      </c>
      <c r="H377" s="7" t="str">
        <f t="array" ref="H377">IF(ISBLANK(E377), "", INDEX(Categories!$B:$B,MATCH(E377,Categories!$A:$A,0)))</f>
        <v/>
      </c>
      <c r="I377" s="7" t="str">
        <f t="array" ref="I377">IF(ISBLANK(F377), "", INDEX(Categories!$B:$B,MATCH(F377,Categories!$A:$A,0)))</f>
        <v/>
      </c>
      <c r="J377" s="4"/>
      <c r="K377" s="4"/>
      <c r="L377" s="4"/>
      <c r="M377" s="4"/>
      <c r="N377" s="4"/>
      <c r="O377" s="4"/>
      <c r="P377" s="4"/>
      <c r="Q377" s="4"/>
    </row>
    <row r="378">
      <c r="A378" s="5">
        <v>377.0</v>
      </c>
      <c r="B378" s="5" t="s">
        <v>559</v>
      </c>
      <c r="C378" s="5" t="s">
        <v>58</v>
      </c>
      <c r="D378" s="6">
        <f>IFERROR(__xludf.DUMMYFUNCTION("SPLIT(MID(C378,2,LEN(C378)-2), "","")"),1170.0)</f>
        <v>1170</v>
      </c>
      <c r="E378" s="7"/>
      <c r="F378" s="7"/>
      <c r="G378" s="2" t="str">
        <f t="array" ref="G378">IF(ISBLANK(D378), "", INDEX(Categories!$B:$B,MATCH(D378,Categories!$A:$A,0)))</f>
        <v>Gasoline Retail</v>
      </c>
      <c r="H378" s="7" t="str">
        <f t="array" ref="H378">IF(ISBLANK(E378), "", INDEX(Categories!$B:$B,MATCH(E378,Categories!$A:$A,0)))</f>
        <v/>
      </c>
      <c r="I378" s="7" t="str">
        <f t="array" ref="I378">IF(ISBLANK(F378), "", INDEX(Categories!$B:$B,MATCH(F378,Categories!$A:$A,0)))</f>
        <v/>
      </c>
      <c r="J378" s="4"/>
      <c r="K378" s="4"/>
      <c r="L378" s="4"/>
      <c r="M378" s="4"/>
      <c r="N378" s="4"/>
      <c r="O378" s="4"/>
      <c r="P378" s="4"/>
      <c r="Q378" s="4"/>
    </row>
    <row r="379">
      <c r="A379" s="5">
        <v>378.0</v>
      </c>
      <c r="B379" s="5" t="s">
        <v>560</v>
      </c>
      <c r="C379" s="5" t="s">
        <v>493</v>
      </c>
      <c r="D379" s="6">
        <f>IFERROR(__xludf.DUMMYFUNCTION("SPLIT(MID(C379,2,LEN(C379)-2), "","")"),766.0)</f>
        <v>766</v>
      </c>
      <c r="E379" s="7"/>
      <c r="F379" s="7"/>
      <c r="G379" s="2" t="str">
        <f t="array" ref="G379">IF(ISBLANK(D379), "", INDEX(Categories!$B:$B,MATCH(D379,Categories!$A:$A,0)))</f>
        <v>Pawnbrokers</v>
      </c>
      <c r="H379" s="7" t="str">
        <f t="array" ref="H379">IF(ISBLANK(E379), "", INDEX(Categories!$B:$B,MATCH(E379,Categories!$A:$A,0)))</f>
        <v/>
      </c>
      <c r="I379" s="7" t="str">
        <f t="array" ref="I379">IF(ISBLANK(F379), "", INDEX(Categories!$B:$B,MATCH(F379,Categories!$A:$A,0)))</f>
        <v/>
      </c>
      <c r="J379" s="4"/>
      <c r="K379" s="4"/>
      <c r="L379" s="4"/>
      <c r="M379" s="4"/>
      <c r="N379" s="4"/>
      <c r="O379" s="4"/>
      <c r="P379" s="4"/>
      <c r="Q379" s="4"/>
    </row>
    <row r="380">
      <c r="A380" s="5">
        <v>379.0</v>
      </c>
      <c r="B380" s="5" t="s">
        <v>561</v>
      </c>
      <c r="C380" s="5" t="s">
        <v>562</v>
      </c>
      <c r="D380" s="6">
        <f>IFERROR(__xludf.DUMMYFUNCTION("SPLIT(MID(C380,2,LEN(C380)-2), "","")"),162.0)</f>
        <v>162</v>
      </c>
      <c r="E380" s="7"/>
      <c r="F380" s="7"/>
      <c r="G380" s="2" t="str">
        <f t="array" ref="G380">IF(ISBLANK(D380), "", INDEX(Categories!$B:$B,MATCH(D380,Categories!$A:$A,0)))</f>
        <v>Hotels, Motels, &amp; Lodging</v>
      </c>
      <c r="H380" s="7" t="str">
        <f t="array" ref="H380">IF(ISBLANK(E380), "", INDEX(Categories!$B:$B,MATCH(E380,Categories!$A:$A,0)))</f>
        <v/>
      </c>
      <c r="I380" s="7" t="str">
        <f t="array" ref="I380">IF(ISBLANK(F380), "", INDEX(Categories!$B:$B,MATCH(F380,Categories!$A:$A,0)))</f>
        <v/>
      </c>
      <c r="J380" s="4"/>
      <c r="K380" s="4"/>
      <c r="L380" s="4"/>
      <c r="M380" s="4"/>
      <c r="N380" s="4"/>
      <c r="O380" s="4"/>
      <c r="P380" s="4"/>
      <c r="Q380" s="4"/>
    </row>
    <row r="381">
      <c r="A381" s="5">
        <v>380.0</v>
      </c>
      <c r="B381" s="5" t="s">
        <v>563</v>
      </c>
      <c r="C381" s="5" t="s">
        <v>55</v>
      </c>
      <c r="D381" s="6">
        <f>IFERROR(__xludf.DUMMYFUNCTION("SPLIT(MID(C381,2,LEN(C381)-2), "","")"),1420.0)</f>
        <v>1420</v>
      </c>
      <c r="E381" s="7"/>
      <c r="F381" s="7"/>
      <c r="G381" s="2" t="str">
        <f t="array" ref="G381">IF(ISBLANK(D381), "", INDEX(Categories!$B:$B,MATCH(D381,Categories!$A:$A,0)))</f>
        <v>Video Tapes &amp; Discs Sales &amp; Rentals</v>
      </c>
      <c r="H381" s="7" t="str">
        <f t="array" ref="H381">IF(ISBLANK(E381), "", INDEX(Categories!$B:$B,MATCH(E381,Categories!$A:$A,0)))</f>
        <v/>
      </c>
      <c r="I381" s="7" t="str">
        <f t="array" ref="I381">IF(ISBLANK(F381), "", INDEX(Categories!$B:$B,MATCH(F381,Categories!$A:$A,0)))</f>
        <v/>
      </c>
      <c r="J381" s="4"/>
      <c r="K381" s="4"/>
      <c r="L381" s="4"/>
      <c r="M381" s="4"/>
      <c r="N381" s="4"/>
      <c r="O381" s="4"/>
      <c r="P381" s="4"/>
      <c r="Q381" s="4"/>
    </row>
    <row r="382">
      <c r="A382" s="5">
        <v>381.0</v>
      </c>
      <c r="B382" s="5" t="s">
        <v>564</v>
      </c>
      <c r="C382" s="5" t="s">
        <v>18</v>
      </c>
      <c r="D382" s="6">
        <f>IFERROR(__xludf.DUMMYFUNCTION("SPLIT(MID(C382,2,LEN(C382)-2), "","")"),121.0)</f>
        <v>121</v>
      </c>
      <c r="E382" s="7"/>
      <c r="F382" s="7"/>
      <c r="G382" s="2" t="str">
        <f t="array" ref="G382">IF(ISBLANK(D382), "", INDEX(Categories!$B:$B,MATCH(D382,Categories!$A:$A,0)))</f>
        <v>Insurance</v>
      </c>
      <c r="H382" s="7" t="str">
        <f t="array" ref="H382">IF(ISBLANK(E382), "", INDEX(Categories!$B:$B,MATCH(E382,Categories!$A:$A,0)))</f>
        <v/>
      </c>
      <c r="I382" s="7" t="str">
        <f t="array" ref="I382">IF(ISBLANK(F382), "", INDEX(Categories!$B:$B,MATCH(F382,Categories!$A:$A,0)))</f>
        <v/>
      </c>
      <c r="J382" s="4"/>
      <c r="K382" s="4"/>
      <c r="L382" s="4"/>
      <c r="M382" s="4"/>
      <c r="N382" s="4"/>
      <c r="O382" s="4"/>
      <c r="P382" s="4"/>
      <c r="Q382" s="4"/>
    </row>
    <row r="383">
      <c r="A383" s="5">
        <v>382.0</v>
      </c>
      <c r="B383" s="5" t="s">
        <v>565</v>
      </c>
      <c r="C383" s="5" t="s">
        <v>566</v>
      </c>
      <c r="D383" s="6">
        <f>IFERROR(__xludf.DUMMYFUNCTION("SPLIT(MID(C383,2,LEN(C383)-2), "","")"),792.0)</f>
        <v>792</v>
      </c>
      <c r="E383" s="7"/>
      <c r="F383" s="7"/>
      <c r="G383" s="2" t="str">
        <f t="array" ref="G383">IF(ISBLANK(D383), "", INDEX(Categories!$B:$B,MATCH(D383,Categories!$A:$A,0)))</f>
        <v>Advertising Specialties</v>
      </c>
      <c r="H383" s="7" t="str">
        <f t="array" ref="H383">IF(ISBLANK(E383), "", INDEX(Categories!$B:$B,MATCH(E383,Categories!$A:$A,0)))</f>
        <v/>
      </c>
      <c r="I383" s="7" t="str">
        <f t="array" ref="I383">IF(ISBLANK(F383), "", INDEX(Categories!$B:$B,MATCH(F383,Categories!$A:$A,0)))</f>
        <v/>
      </c>
      <c r="J383" s="4"/>
      <c r="K383" s="4"/>
      <c r="L383" s="4"/>
      <c r="M383" s="4"/>
      <c r="N383" s="4"/>
      <c r="O383" s="4"/>
      <c r="P383" s="4"/>
      <c r="Q383" s="4"/>
    </row>
    <row r="384">
      <c r="A384" s="5">
        <v>383.0</v>
      </c>
      <c r="B384" s="5" t="s">
        <v>567</v>
      </c>
      <c r="C384" s="5" t="s">
        <v>18</v>
      </c>
      <c r="D384" s="6">
        <f>IFERROR(__xludf.DUMMYFUNCTION("SPLIT(MID(C384,2,LEN(C384)-2), "","")"),121.0)</f>
        <v>121</v>
      </c>
      <c r="E384" s="7"/>
      <c r="F384" s="7"/>
      <c r="G384" s="2" t="str">
        <f t="array" ref="G384">IF(ISBLANK(D384), "", INDEX(Categories!$B:$B,MATCH(D384,Categories!$A:$A,0)))</f>
        <v>Insurance</v>
      </c>
      <c r="H384" s="7" t="str">
        <f t="array" ref="H384">IF(ISBLANK(E384), "", INDEX(Categories!$B:$B,MATCH(E384,Categories!$A:$A,0)))</f>
        <v/>
      </c>
      <c r="I384" s="7" t="str">
        <f t="array" ref="I384">IF(ISBLANK(F384), "", INDEX(Categories!$B:$B,MATCH(F384,Categories!$A:$A,0)))</f>
        <v/>
      </c>
      <c r="J384" s="4"/>
      <c r="K384" s="4"/>
      <c r="L384" s="4"/>
      <c r="M384" s="4"/>
      <c r="N384" s="4"/>
      <c r="O384" s="4"/>
      <c r="P384" s="4"/>
      <c r="Q384" s="4"/>
    </row>
    <row r="385">
      <c r="A385" s="5">
        <v>384.0</v>
      </c>
      <c r="B385" s="5" t="s">
        <v>568</v>
      </c>
      <c r="C385" s="5" t="s">
        <v>569</v>
      </c>
      <c r="D385" s="6">
        <f>IFERROR(__xludf.DUMMYFUNCTION("SPLIT(MID(C385,2,LEN(C385)-2), "","")"),137.0)</f>
        <v>137</v>
      </c>
      <c r="E385" s="7"/>
      <c r="F385" s="7"/>
      <c r="G385" s="2" t="str">
        <f t="array" ref="G385">IF(ISBLANK(D385), "", INDEX(Categories!$B:$B,MATCH(D385,Categories!$A:$A,0)))</f>
        <v>Insurance Title</v>
      </c>
      <c r="H385" s="7" t="str">
        <f t="array" ref="H385">IF(ISBLANK(E385), "", INDEX(Categories!$B:$B,MATCH(E385,Categories!$A:$A,0)))</f>
        <v/>
      </c>
      <c r="I385" s="7" t="str">
        <f t="array" ref="I385">IF(ISBLANK(F385), "", INDEX(Categories!$B:$B,MATCH(F385,Categories!$A:$A,0)))</f>
        <v/>
      </c>
      <c r="J385" s="4"/>
      <c r="K385" s="4"/>
      <c r="L385" s="4"/>
      <c r="M385" s="4"/>
      <c r="N385" s="4"/>
      <c r="O385" s="4"/>
      <c r="P385" s="4"/>
      <c r="Q385" s="4"/>
    </row>
    <row r="386">
      <c r="A386" s="5">
        <v>385.0</v>
      </c>
      <c r="B386" s="5" t="s">
        <v>570</v>
      </c>
      <c r="C386" s="5" t="s">
        <v>212</v>
      </c>
      <c r="D386" s="6">
        <f>IFERROR(__xludf.DUMMYFUNCTION("SPLIT(MID(C386,2,LEN(C386)-2), "","")"),446.0)</f>
        <v>446</v>
      </c>
      <c r="E386" s="7"/>
      <c r="F386" s="7"/>
      <c r="G386" s="2" t="str">
        <f t="array" ref="G386">IF(ISBLANK(D386), "", INDEX(Categories!$B:$B,MATCH(D386,Categories!$A:$A,0)))</f>
        <v>Beauty Salons</v>
      </c>
      <c r="H386" s="7" t="str">
        <f t="array" ref="H386">IF(ISBLANK(E386), "", INDEX(Categories!$B:$B,MATCH(E386,Categories!$A:$A,0)))</f>
        <v/>
      </c>
      <c r="I386" s="7" t="str">
        <f t="array" ref="I386">IF(ISBLANK(F386), "", INDEX(Categories!$B:$B,MATCH(F386,Categories!$A:$A,0)))</f>
        <v/>
      </c>
      <c r="J386" s="4"/>
      <c r="K386" s="4"/>
      <c r="L386" s="4"/>
      <c r="M386" s="4"/>
      <c r="N386" s="4"/>
      <c r="O386" s="4"/>
      <c r="P386" s="4"/>
      <c r="Q386" s="4"/>
    </row>
    <row r="387">
      <c r="A387" s="5">
        <v>386.0</v>
      </c>
      <c r="B387" s="5" t="s">
        <v>571</v>
      </c>
      <c r="C387" s="5" t="s">
        <v>69</v>
      </c>
      <c r="D387" s="6">
        <f>IFERROR(__xludf.DUMMYFUNCTION("SPLIT(MID(C387,2,LEN(C387)-2), "","")"),293.0)</f>
        <v>293</v>
      </c>
      <c r="E387" s="7"/>
      <c r="F387" s="7"/>
      <c r="G387" s="2" t="str">
        <f t="array" ref="G387">IF(ISBLANK(D387), "", INDEX(Categories!$B:$B,MATCH(D387,Categories!$A:$A,0)))</f>
        <v>Banks Commercial</v>
      </c>
      <c r="H387" s="7" t="str">
        <f t="array" ref="H387">IF(ISBLANK(E387), "", INDEX(Categories!$B:$B,MATCH(E387,Categories!$A:$A,0)))</f>
        <v/>
      </c>
      <c r="I387" s="7" t="str">
        <f t="array" ref="I387">IF(ISBLANK(F387), "", INDEX(Categories!$B:$B,MATCH(F387,Categories!$A:$A,0)))</f>
        <v/>
      </c>
      <c r="J387" s="4"/>
      <c r="K387" s="4"/>
      <c r="L387" s="4"/>
      <c r="M387" s="4"/>
      <c r="N387" s="4"/>
      <c r="O387" s="4"/>
      <c r="P387" s="4"/>
      <c r="Q387" s="4"/>
    </row>
    <row r="388">
      <c r="A388" s="5">
        <v>387.0</v>
      </c>
      <c r="B388" s="5" t="s">
        <v>572</v>
      </c>
      <c r="C388" s="5" t="s">
        <v>109</v>
      </c>
      <c r="D388" s="6">
        <f>IFERROR(__xludf.DUMMYFUNCTION("SPLIT(MID(C388,2,LEN(C388)-2), "","")"),741.0)</f>
        <v>741</v>
      </c>
      <c r="E388" s="7"/>
      <c r="F388" s="7"/>
      <c r="G388" s="2" t="str">
        <f t="array" ref="G388">IF(ISBLANK(D388), "", INDEX(Categories!$B:$B,MATCH(D388,Categories!$A:$A,0)))</f>
        <v>Shoes</v>
      </c>
      <c r="H388" s="7" t="str">
        <f t="array" ref="H388">IF(ISBLANK(E388), "", INDEX(Categories!$B:$B,MATCH(E388,Categories!$A:$A,0)))</f>
        <v/>
      </c>
      <c r="I388" s="7" t="str">
        <f t="array" ref="I388">IF(ISBLANK(F388), "", INDEX(Categories!$B:$B,MATCH(F388,Categories!$A:$A,0)))</f>
        <v/>
      </c>
      <c r="J388" s="4"/>
      <c r="K388" s="4"/>
      <c r="L388" s="4"/>
      <c r="M388" s="4"/>
      <c r="N388" s="4"/>
      <c r="O388" s="4"/>
      <c r="P388" s="4"/>
      <c r="Q388" s="4"/>
    </row>
    <row r="389">
      <c r="A389" s="5">
        <v>388.0</v>
      </c>
      <c r="B389" s="5" t="s">
        <v>573</v>
      </c>
      <c r="C389" s="5" t="s">
        <v>69</v>
      </c>
      <c r="D389" s="6">
        <f>IFERROR(__xludf.DUMMYFUNCTION("SPLIT(MID(C389,2,LEN(C389)-2), "","")"),293.0)</f>
        <v>293</v>
      </c>
      <c r="E389" s="7"/>
      <c r="F389" s="7"/>
      <c r="G389" s="2" t="str">
        <f t="array" ref="G389">IF(ISBLANK(D389), "", INDEX(Categories!$B:$B,MATCH(D389,Categories!$A:$A,0)))</f>
        <v>Banks Commercial</v>
      </c>
      <c r="H389" s="7" t="str">
        <f t="array" ref="H389">IF(ISBLANK(E389), "", INDEX(Categories!$B:$B,MATCH(E389,Categories!$A:$A,0)))</f>
        <v/>
      </c>
      <c r="I389" s="7" t="str">
        <f t="array" ref="I389">IF(ISBLANK(F389), "", INDEX(Categories!$B:$B,MATCH(F389,Categories!$A:$A,0)))</f>
        <v/>
      </c>
      <c r="J389" s="4"/>
      <c r="K389" s="4"/>
      <c r="L389" s="4"/>
      <c r="M389" s="4"/>
      <c r="N389" s="4"/>
      <c r="O389" s="4"/>
      <c r="P389" s="4"/>
      <c r="Q389" s="4"/>
    </row>
    <row r="390">
      <c r="A390" s="5">
        <v>389.0</v>
      </c>
      <c r="B390" s="5" t="s">
        <v>574</v>
      </c>
      <c r="C390" s="5" t="s">
        <v>102</v>
      </c>
      <c r="D390" s="6">
        <f>IFERROR(__xludf.DUMMYFUNCTION("SPLIT(MID(C390,2,LEN(C390)-2), "","")"),298.0)</f>
        <v>298</v>
      </c>
      <c r="E390" s="7"/>
      <c r="F390" s="7"/>
      <c r="G390" s="2" t="str">
        <f t="array" ref="G390">IF(ISBLANK(D390), "", INDEX(Categories!$B:$B,MATCH(D390,Categories!$A:$A,0)))</f>
        <v>Financial Services</v>
      </c>
      <c r="H390" s="7" t="str">
        <f t="array" ref="H390">IF(ISBLANK(E390), "", INDEX(Categories!$B:$B,MATCH(E390,Categories!$A:$A,0)))</f>
        <v/>
      </c>
      <c r="I390" s="7" t="str">
        <f t="array" ref="I390">IF(ISBLANK(F390), "", INDEX(Categories!$B:$B,MATCH(F390,Categories!$A:$A,0)))</f>
        <v/>
      </c>
      <c r="J390" s="4"/>
      <c r="K390" s="4"/>
      <c r="L390" s="4"/>
      <c r="M390" s="4"/>
      <c r="N390" s="4"/>
      <c r="O390" s="4"/>
      <c r="P390" s="4"/>
      <c r="Q390" s="4"/>
    </row>
    <row r="391">
      <c r="A391" s="5">
        <v>390.0</v>
      </c>
      <c r="B391" s="5" t="s">
        <v>575</v>
      </c>
      <c r="C391" s="5" t="s">
        <v>69</v>
      </c>
      <c r="D391" s="6">
        <f>IFERROR(__xludf.DUMMYFUNCTION("SPLIT(MID(C391,2,LEN(C391)-2), "","")"),293.0)</f>
        <v>293</v>
      </c>
      <c r="E391" s="7"/>
      <c r="F391" s="7"/>
      <c r="G391" s="2" t="str">
        <f t="array" ref="G391">IF(ISBLANK(D391), "", INDEX(Categories!$B:$B,MATCH(D391,Categories!$A:$A,0)))</f>
        <v>Banks Commercial</v>
      </c>
      <c r="H391" s="7" t="str">
        <f t="array" ref="H391">IF(ISBLANK(E391), "", INDEX(Categories!$B:$B,MATCH(E391,Categories!$A:$A,0)))</f>
        <v/>
      </c>
      <c r="I391" s="7" t="str">
        <f t="array" ref="I391">IF(ISBLANK(F391), "", INDEX(Categories!$B:$B,MATCH(F391,Categories!$A:$A,0)))</f>
        <v/>
      </c>
      <c r="J391" s="4"/>
      <c r="K391" s="4"/>
      <c r="L391" s="4"/>
      <c r="M391" s="4"/>
      <c r="N391" s="4"/>
      <c r="O391" s="4"/>
      <c r="P391" s="4"/>
      <c r="Q391" s="4"/>
    </row>
    <row r="392">
      <c r="A392" s="5">
        <v>391.0</v>
      </c>
      <c r="B392" s="5" t="s">
        <v>576</v>
      </c>
      <c r="C392" s="5" t="s">
        <v>69</v>
      </c>
      <c r="D392" s="6">
        <f>IFERROR(__xludf.DUMMYFUNCTION("SPLIT(MID(C392,2,LEN(C392)-2), "","")"),293.0)</f>
        <v>293</v>
      </c>
      <c r="E392" s="7"/>
      <c r="F392" s="7"/>
      <c r="G392" s="2" t="str">
        <f t="array" ref="G392">IF(ISBLANK(D392), "", INDEX(Categories!$B:$B,MATCH(D392,Categories!$A:$A,0)))</f>
        <v>Banks Commercial</v>
      </c>
      <c r="H392" s="7" t="str">
        <f t="array" ref="H392">IF(ISBLANK(E392), "", INDEX(Categories!$B:$B,MATCH(E392,Categories!$A:$A,0)))</f>
        <v/>
      </c>
      <c r="I392" s="7" t="str">
        <f t="array" ref="I392">IF(ISBLANK(F392), "", INDEX(Categories!$B:$B,MATCH(F392,Categories!$A:$A,0)))</f>
        <v/>
      </c>
      <c r="J392" s="4"/>
      <c r="K392" s="4"/>
      <c r="L392" s="4"/>
      <c r="M392" s="4"/>
      <c r="N392" s="4"/>
      <c r="O392" s="4"/>
      <c r="P392" s="4"/>
      <c r="Q392" s="4"/>
    </row>
    <row r="393">
      <c r="A393" s="5">
        <v>392.0</v>
      </c>
      <c r="B393" s="5" t="s">
        <v>577</v>
      </c>
      <c r="C393" s="5" t="s">
        <v>578</v>
      </c>
      <c r="D393" s="6">
        <f>IFERROR(__xludf.DUMMYFUNCTION("SPLIT(MID(C393,2,LEN(C393)-2), "","")"),1037.0)</f>
        <v>1037</v>
      </c>
      <c r="E393" s="7"/>
      <c r="F393" s="7"/>
      <c r="G393" s="2" t="str">
        <f t="array" ref="G393">IF(ISBLANK(D393), "", INDEX(Categories!$B:$B,MATCH(D393,Categories!$A:$A,0)))</f>
        <v>Flooring &amp; Floor Covering Contractors</v>
      </c>
      <c r="H393" s="7" t="str">
        <f t="array" ref="H393">IF(ISBLANK(E393), "", INDEX(Categories!$B:$B,MATCH(E393,Categories!$A:$A,0)))</f>
        <v/>
      </c>
      <c r="I393" s="7" t="str">
        <f t="array" ref="I393">IF(ISBLANK(F393), "", INDEX(Categories!$B:$B,MATCH(F393,Categories!$A:$A,0)))</f>
        <v/>
      </c>
      <c r="J393" s="4"/>
      <c r="K393" s="4"/>
      <c r="L393" s="4"/>
      <c r="M393" s="4"/>
      <c r="N393" s="4"/>
      <c r="O393" s="4"/>
      <c r="P393" s="4"/>
      <c r="Q393" s="4"/>
    </row>
    <row r="394">
      <c r="A394" s="5">
        <v>393.0</v>
      </c>
      <c r="B394" s="5" t="s">
        <v>579</v>
      </c>
      <c r="C394" s="5" t="s">
        <v>522</v>
      </c>
      <c r="D394" s="6">
        <f>IFERROR(__xludf.DUMMYFUNCTION("SPLIT(MID(C394,2,LEN(C394)-2), "","")"),683.0)</f>
        <v>683</v>
      </c>
      <c r="E394" s="7"/>
      <c r="F394" s="7"/>
      <c r="G394" s="2" t="str">
        <f t="array" ref="G394">IF(ISBLANK(D394), "", INDEX(Categories!$B:$B,MATCH(D394,Categories!$A:$A,0)))</f>
        <v>Bakeries</v>
      </c>
      <c r="H394" s="7" t="str">
        <f t="array" ref="H394">IF(ISBLANK(E394), "", INDEX(Categories!$B:$B,MATCH(E394,Categories!$A:$A,0)))</f>
        <v/>
      </c>
      <c r="I394" s="7" t="str">
        <f t="array" ref="I394">IF(ISBLANK(F394), "", INDEX(Categories!$B:$B,MATCH(F394,Categories!$A:$A,0)))</f>
        <v/>
      </c>
      <c r="J394" s="4"/>
      <c r="K394" s="4"/>
      <c r="L394" s="4"/>
      <c r="M394" s="4"/>
      <c r="N394" s="4"/>
      <c r="O394" s="4"/>
      <c r="P394" s="4"/>
      <c r="Q394" s="4"/>
    </row>
    <row r="395">
      <c r="A395" s="5">
        <v>394.0</v>
      </c>
      <c r="B395" s="5" t="s">
        <v>580</v>
      </c>
      <c r="C395" s="5" t="s">
        <v>346</v>
      </c>
      <c r="D395" s="6">
        <f>IFERROR(__xludf.DUMMYFUNCTION("SPLIT(MID(C395,2,LEN(C395)-2), "","")"),610.0)</f>
        <v>610</v>
      </c>
      <c r="E395" s="7"/>
      <c r="F395" s="7"/>
      <c r="G395" s="2" t="str">
        <f t="array" ref="G395">IF(ISBLANK(D395), "", INDEX(Categories!$B:$B,MATCH(D395,Categories!$A:$A,0)))</f>
        <v>Supermarkets &amp; Super Stores</v>
      </c>
      <c r="H395" s="7" t="str">
        <f t="array" ref="H395">IF(ISBLANK(E395), "", INDEX(Categories!$B:$B,MATCH(E395,Categories!$A:$A,0)))</f>
        <v/>
      </c>
      <c r="I395" s="7" t="str">
        <f t="array" ref="I395">IF(ISBLANK(F395), "", INDEX(Categories!$B:$B,MATCH(F395,Categories!$A:$A,0)))</f>
        <v/>
      </c>
      <c r="J395" s="4"/>
      <c r="K395" s="4"/>
      <c r="L395" s="4"/>
      <c r="M395" s="4"/>
      <c r="N395" s="4"/>
      <c r="O395" s="4"/>
      <c r="P395" s="4"/>
      <c r="Q395" s="4"/>
    </row>
    <row r="396">
      <c r="A396" s="5">
        <v>395.0</v>
      </c>
      <c r="B396" s="5" t="s">
        <v>581</v>
      </c>
      <c r="C396" s="5" t="s">
        <v>109</v>
      </c>
      <c r="D396" s="6">
        <f>IFERROR(__xludf.DUMMYFUNCTION("SPLIT(MID(C396,2,LEN(C396)-2), "","")"),741.0)</f>
        <v>741</v>
      </c>
      <c r="E396" s="7"/>
      <c r="F396" s="7"/>
      <c r="G396" s="2" t="str">
        <f t="array" ref="G396">IF(ISBLANK(D396), "", INDEX(Categories!$B:$B,MATCH(D396,Categories!$A:$A,0)))</f>
        <v>Shoes</v>
      </c>
      <c r="H396" s="7" t="str">
        <f t="array" ref="H396">IF(ISBLANK(E396), "", INDEX(Categories!$B:$B,MATCH(E396,Categories!$A:$A,0)))</f>
        <v/>
      </c>
      <c r="I396" s="7" t="str">
        <f t="array" ref="I396">IF(ISBLANK(F396), "", INDEX(Categories!$B:$B,MATCH(F396,Categories!$A:$A,0)))</f>
        <v/>
      </c>
      <c r="J396" s="4"/>
      <c r="K396" s="4"/>
      <c r="L396" s="4"/>
      <c r="M396" s="4"/>
      <c r="N396" s="4"/>
      <c r="O396" s="4"/>
      <c r="P396" s="4"/>
      <c r="Q396" s="4"/>
    </row>
    <row r="397">
      <c r="A397" s="5">
        <v>396.0</v>
      </c>
      <c r="B397" s="5" t="s">
        <v>582</v>
      </c>
      <c r="C397" s="5" t="s">
        <v>155</v>
      </c>
      <c r="D397" s="6">
        <f>IFERROR(__xludf.DUMMYFUNCTION("SPLIT(MID(C397,2,LEN(C397)-2), "","")"),2511.0)</f>
        <v>2511</v>
      </c>
      <c r="E397" s="7"/>
      <c r="F397" s="7"/>
      <c r="G397" s="2" t="str">
        <f t="array" ref="G397">IF(ISBLANK(D397), "", INDEX(Categories!$B:$B,MATCH(D397,Categories!$A:$A,0)))</f>
        <v>Fraternal Organizations</v>
      </c>
      <c r="H397" s="7" t="str">
        <f t="array" ref="H397">IF(ISBLANK(E397), "", INDEX(Categories!$B:$B,MATCH(E397,Categories!$A:$A,0)))</f>
        <v/>
      </c>
      <c r="I397" s="7" t="str">
        <f t="array" ref="I397">IF(ISBLANK(F397), "", INDEX(Categories!$B:$B,MATCH(F397,Categories!$A:$A,0)))</f>
        <v/>
      </c>
      <c r="J397" s="4"/>
      <c r="K397" s="4"/>
      <c r="L397" s="4"/>
      <c r="M397" s="4"/>
      <c r="N397" s="4"/>
      <c r="O397" s="4"/>
      <c r="P397" s="4"/>
      <c r="Q397" s="4"/>
    </row>
    <row r="398">
      <c r="A398" s="5">
        <v>397.0</v>
      </c>
      <c r="B398" s="5" t="s">
        <v>583</v>
      </c>
      <c r="C398" s="5" t="s">
        <v>139</v>
      </c>
      <c r="D398" s="6">
        <f>IFERROR(__xludf.DUMMYFUNCTION("SPLIT(MID(C398,2,LEN(C398)-2), "","")"),1617.0)</f>
        <v>1617</v>
      </c>
      <c r="E398" s="7"/>
      <c r="F398" s="7"/>
      <c r="G398" s="2" t="str">
        <f t="array" ref="G398">IF(ISBLANK(D398), "", INDEX(Categories!$B:$B,MATCH(D398,Categories!$A:$A,0)))</f>
        <v>Department Stores</v>
      </c>
      <c r="H398" s="7" t="str">
        <f t="array" ref="H398">IF(ISBLANK(E398), "", INDEX(Categories!$B:$B,MATCH(E398,Categories!$A:$A,0)))</f>
        <v/>
      </c>
      <c r="I398" s="7" t="str">
        <f t="array" ref="I398">IF(ISBLANK(F398), "", INDEX(Categories!$B:$B,MATCH(F398,Categories!$A:$A,0)))</f>
        <v/>
      </c>
      <c r="J398" s="4"/>
      <c r="K398" s="4"/>
      <c r="L398" s="4"/>
      <c r="M398" s="4"/>
      <c r="N398" s="4"/>
      <c r="O398" s="4"/>
      <c r="P398" s="4"/>
      <c r="Q398" s="4"/>
    </row>
    <row r="399">
      <c r="A399" s="5">
        <v>398.0</v>
      </c>
      <c r="B399" s="5" t="s">
        <v>584</v>
      </c>
      <c r="C399" s="5" t="s">
        <v>585</v>
      </c>
      <c r="D399" s="6">
        <f>IFERROR(__xludf.DUMMYFUNCTION("SPLIT(MID(C399,2,LEN(C399)-2), "","")"),1259.0)</f>
        <v>1259</v>
      </c>
      <c r="E399" s="7"/>
      <c r="F399" s="7"/>
      <c r="G399" s="2" t="str">
        <f t="array" ref="G399">IF(ISBLANK(D399), "", INDEX(Categories!$B:$B,MATCH(D399,Categories!$A:$A,0)))</f>
        <v>Lingerie Retail</v>
      </c>
      <c r="H399" s="7" t="str">
        <f t="array" ref="H399">IF(ISBLANK(E399), "", INDEX(Categories!$B:$B,MATCH(E399,Categories!$A:$A,0)))</f>
        <v/>
      </c>
      <c r="I399" s="7" t="str">
        <f t="array" ref="I399">IF(ISBLANK(F399), "", INDEX(Categories!$B:$B,MATCH(F399,Categories!$A:$A,0)))</f>
        <v/>
      </c>
      <c r="J399" s="4"/>
      <c r="K399" s="4"/>
      <c r="L399" s="4"/>
      <c r="M399" s="4"/>
      <c r="N399" s="4"/>
      <c r="O399" s="4"/>
      <c r="P399" s="4"/>
      <c r="Q399" s="4"/>
    </row>
    <row r="400">
      <c r="A400" s="5">
        <v>399.0</v>
      </c>
      <c r="B400" s="5" t="s">
        <v>586</v>
      </c>
      <c r="C400" s="5" t="s">
        <v>587</v>
      </c>
      <c r="D400" s="6">
        <f>IFERROR(__xludf.DUMMYFUNCTION("SPLIT(MID(C400,2,LEN(C400)-2), "","")"),122.0)</f>
        <v>122</v>
      </c>
      <c r="E400" s="7"/>
      <c r="F400" s="7"/>
      <c r="G400" s="2" t="str">
        <f t="array" ref="G400">IF(ISBLANK(D400), "", INDEX(Categories!$B:$B,MATCH(D400,Categories!$A:$A,0)))</f>
        <v>Adjusters</v>
      </c>
      <c r="H400" s="7" t="str">
        <f t="array" ref="H400">IF(ISBLANK(E400), "", INDEX(Categories!$B:$B,MATCH(E400,Categories!$A:$A,0)))</f>
        <v/>
      </c>
      <c r="I400" s="7" t="str">
        <f t="array" ref="I400">IF(ISBLANK(F400), "", INDEX(Categories!$B:$B,MATCH(F400,Categories!$A:$A,0)))</f>
        <v/>
      </c>
      <c r="J400" s="4"/>
      <c r="K400" s="4"/>
      <c r="L400" s="4"/>
      <c r="M400" s="4"/>
      <c r="N400" s="4"/>
      <c r="O400" s="4"/>
      <c r="P400" s="4"/>
      <c r="Q400" s="4"/>
    </row>
    <row r="401">
      <c r="A401" s="5">
        <v>400.0</v>
      </c>
      <c r="B401" s="5" t="s">
        <v>588</v>
      </c>
      <c r="C401" s="5" t="s">
        <v>587</v>
      </c>
      <c r="D401" s="6">
        <f>IFERROR(__xludf.DUMMYFUNCTION("SPLIT(MID(C401,2,LEN(C401)-2), "","")"),122.0)</f>
        <v>122</v>
      </c>
      <c r="E401" s="7"/>
      <c r="F401" s="7"/>
      <c r="G401" s="2" t="str">
        <f t="array" ref="G401">IF(ISBLANK(D401), "", INDEX(Categories!$B:$B,MATCH(D401,Categories!$A:$A,0)))</f>
        <v>Adjusters</v>
      </c>
      <c r="H401" s="7" t="str">
        <f t="array" ref="H401">IF(ISBLANK(E401), "", INDEX(Categories!$B:$B,MATCH(E401,Categories!$A:$A,0)))</f>
        <v/>
      </c>
      <c r="I401" s="7" t="str">
        <f t="array" ref="I401">IF(ISBLANK(F401), "", INDEX(Categories!$B:$B,MATCH(F401,Categories!$A:$A,0)))</f>
        <v/>
      </c>
      <c r="J401" s="4"/>
      <c r="K401" s="4"/>
      <c r="L401" s="4"/>
      <c r="M401" s="4"/>
      <c r="N401" s="4"/>
      <c r="O401" s="4"/>
      <c r="P401" s="4"/>
      <c r="Q401" s="4"/>
    </row>
    <row r="402">
      <c r="A402" s="5">
        <v>401.0</v>
      </c>
      <c r="B402" s="5" t="s">
        <v>589</v>
      </c>
      <c r="C402" s="5" t="s">
        <v>303</v>
      </c>
      <c r="D402" s="6">
        <f>IFERROR(__xludf.DUMMYFUNCTION("SPLIT(MID(C402,2,LEN(C402)-2), "","")"),1241.0)</f>
        <v>1241</v>
      </c>
      <c r="E402" s="7"/>
      <c r="F402" s="7"/>
      <c r="G402" s="2" t="str">
        <f t="array" ref="G402">IF(ISBLANK(D402), "", INDEX(Categories!$B:$B,MATCH(D402,Categories!$A:$A,0)))</f>
        <v>Clothing &amp; Accessories</v>
      </c>
      <c r="H402" s="7" t="str">
        <f t="array" ref="H402">IF(ISBLANK(E402), "", INDEX(Categories!$B:$B,MATCH(E402,Categories!$A:$A,0)))</f>
        <v/>
      </c>
      <c r="I402" s="7" t="str">
        <f t="array" ref="I402">IF(ISBLANK(F402), "", INDEX(Categories!$B:$B,MATCH(F402,Categories!$A:$A,0)))</f>
        <v/>
      </c>
      <c r="J402" s="4"/>
      <c r="K402" s="4"/>
      <c r="L402" s="4"/>
      <c r="M402" s="4"/>
      <c r="N402" s="4"/>
      <c r="O402" s="4"/>
      <c r="P402" s="4"/>
      <c r="Q402" s="4"/>
    </row>
    <row r="403">
      <c r="A403" s="5">
        <v>402.0</v>
      </c>
      <c r="B403" s="5" t="s">
        <v>590</v>
      </c>
      <c r="C403" s="5" t="s">
        <v>591</v>
      </c>
      <c r="D403" s="6">
        <f>IFERROR(__xludf.DUMMYFUNCTION("SPLIT(MID(C403,2,LEN(C403)-2), "","")"),942.0)</f>
        <v>942</v>
      </c>
      <c r="E403" s="7"/>
      <c r="F403" s="7"/>
      <c r="G403" s="2" t="str">
        <f t="array" ref="G403">IF(ISBLANK(D403), "", INDEX(Categories!$B:$B,MATCH(D403,Categories!$A:$A,0)))</f>
        <v>Logging &amp; Sawmills</v>
      </c>
      <c r="H403" s="7" t="str">
        <f t="array" ref="H403">IF(ISBLANK(E403), "", INDEX(Categories!$B:$B,MATCH(E403,Categories!$A:$A,0)))</f>
        <v/>
      </c>
      <c r="I403" s="7" t="str">
        <f t="array" ref="I403">IF(ISBLANK(F403), "", INDEX(Categories!$B:$B,MATCH(F403,Categories!$A:$A,0)))</f>
        <v/>
      </c>
      <c r="J403" s="4"/>
      <c r="K403" s="4"/>
      <c r="L403" s="4"/>
      <c r="M403" s="4"/>
      <c r="N403" s="4"/>
      <c r="O403" s="4"/>
      <c r="P403" s="4"/>
      <c r="Q403" s="4"/>
    </row>
    <row r="404">
      <c r="A404" s="5">
        <v>403.0</v>
      </c>
      <c r="B404" s="5" t="s">
        <v>592</v>
      </c>
      <c r="C404" s="5" t="s">
        <v>593</v>
      </c>
      <c r="D404" s="6">
        <f>IFERROR(__xludf.DUMMYFUNCTION("SPLIT(MID(C404,2,LEN(C404)-2), "","")"),634.0)</f>
        <v>634</v>
      </c>
      <c r="E404" s="7"/>
      <c r="F404" s="7"/>
      <c r="G404" s="2" t="str">
        <f t="array" ref="G404">IF(ISBLANK(D404), "", INDEX(Categories!$B:$B,MATCH(D404,Categories!$A:$A,0)))</f>
        <v>Photographers</v>
      </c>
      <c r="H404" s="7" t="str">
        <f t="array" ref="H404">IF(ISBLANK(E404), "", INDEX(Categories!$B:$B,MATCH(E404,Categories!$A:$A,0)))</f>
        <v/>
      </c>
      <c r="I404" s="7" t="str">
        <f t="array" ref="I404">IF(ISBLANK(F404), "", INDEX(Categories!$B:$B,MATCH(F404,Categories!$A:$A,0)))</f>
        <v/>
      </c>
      <c r="J404" s="4"/>
      <c r="K404" s="4"/>
      <c r="L404" s="4"/>
      <c r="M404" s="4"/>
      <c r="N404" s="4"/>
      <c r="O404" s="4"/>
      <c r="P404" s="4"/>
      <c r="Q404" s="4"/>
    </row>
    <row r="405">
      <c r="A405" s="5">
        <v>404.0</v>
      </c>
      <c r="B405" s="5" t="s">
        <v>594</v>
      </c>
      <c r="C405" s="5" t="s">
        <v>221</v>
      </c>
      <c r="D405" s="6">
        <f>IFERROR(__xludf.DUMMYFUNCTION("SPLIT(MID(C405,2,LEN(C405)-2), "","")"),483.0)</f>
        <v>483</v>
      </c>
      <c r="E405" s="7"/>
      <c r="F405" s="7"/>
      <c r="G405" s="2" t="str">
        <f t="array" ref="G405">IF(ISBLANK(D405), "", INDEX(Categories!$B:$B,MATCH(D405,Categories!$A:$A,0)))</f>
        <v>Automobile Window Service &amp; Repair</v>
      </c>
      <c r="H405" s="7" t="str">
        <f t="array" ref="H405">IF(ISBLANK(E405), "", INDEX(Categories!$B:$B,MATCH(E405,Categories!$A:$A,0)))</f>
        <v/>
      </c>
      <c r="I405" s="7" t="str">
        <f t="array" ref="I405">IF(ISBLANK(F405), "", INDEX(Categories!$B:$B,MATCH(F405,Categories!$A:$A,0)))</f>
        <v/>
      </c>
      <c r="J405" s="4"/>
      <c r="K405" s="4"/>
      <c r="L405" s="4"/>
      <c r="M405" s="4"/>
      <c r="N405" s="4"/>
      <c r="O405" s="4"/>
      <c r="P405" s="4"/>
      <c r="Q405" s="4"/>
    </row>
    <row r="406">
      <c r="A406" s="5">
        <v>405.0</v>
      </c>
      <c r="B406" s="5" t="s">
        <v>595</v>
      </c>
      <c r="C406" s="5" t="s">
        <v>232</v>
      </c>
      <c r="D406" s="6">
        <f>IFERROR(__xludf.DUMMYFUNCTION("SPLIT(MID(C406,2,LEN(C406)-2), "","")"),956.0)</f>
        <v>956</v>
      </c>
      <c r="E406" s="7"/>
      <c r="F406" s="7"/>
      <c r="G406" s="2" t="str">
        <f t="array" ref="G406">IF(ISBLANK(D406), "", INDEX(Categories!$B:$B,MATCH(D406,Categories!$A:$A,0)))</f>
        <v>Painting Supplies</v>
      </c>
      <c r="H406" s="7" t="str">
        <f t="array" ref="H406">IF(ISBLANK(E406), "", INDEX(Categories!$B:$B,MATCH(E406,Categories!$A:$A,0)))</f>
        <v/>
      </c>
      <c r="I406" s="7" t="str">
        <f t="array" ref="I406">IF(ISBLANK(F406), "", INDEX(Categories!$B:$B,MATCH(F406,Categories!$A:$A,0)))</f>
        <v/>
      </c>
      <c r="J406" s="4"/>
      <c r="K406" s="4"/>
      <c r="L406" s="4"/>
      <c r="M406" s="4"/>
      <c r="N406" s="4"/>
      <c r="O406" s="4"/>
      <c r="P406" s="4"/>
      <c r="Q406" s="4"/>
    </row>
    <row r="407">
      <c r="A407" s="5">
        <v>406.0</v>
      </c>
      <c r="B407" s="5" t="s">
        <v>596</v>
      </c>
      <c r="C407" s="5" t="s">
        <v>463</v>
      </c>
      <c r="D407" s="6">
        <f>IFERROR(__xludf.DUMMYFUNCTION("SPLIT(MID(C407,2,LEN(C407)-2), "","")"),2604.0)</f>
        <v>2604</v>
      </c>
      <c r="E407" s="7"/>
      <c r="F407" s="7"/>
      <c r="G407" s="2" t="str">
        <f t="array" ref="G407">IF(ISBLANK(D407), "", INDEX(Categories!$B:$B,MATCH(D407,Categories!$A:$A,0)))</f>
        <v>Health Clubs</v>
      </c>
      <c r="H407" s="7" t="str">
        <f t="array" ref="H407">IF(ISBLANK(E407), "", INDEX(Categories!$B:$B,MATCH(E407,Categories!$A:$A,0)))</f>
        <v/>
      </c>
      <c r="I407" s="7" t="str">
        <f t="array" ref="I407">IF(ISBLANK(F407), "", INDEX(Categories!$B:$B,MATCH(F407,Categories!$A:$A,0)))</f>
        <v/>
      </c>
      <c r="J407" s="4"/>
      <c r="K407" s="4"/>
      <c r="L407" s="4"/>
      <c r="M407" s="4"/>
      <c r="N407" s="4"/>
      <c r="O407" s="4"/>
      <c r="P407" s="4"/>
      <c r="Q407" s="4"/>
    </row>
    <row r="408">
      <c r="A408" s="5">
        <v>407.0</v>
      </c>
      <c r="B408" s="5" t="s">
        <v>597</v>
      </c>
      <c r="C408" s="5" t="s">
        <v>274</v>
      </c>
      <c r="D408" s="6">
        <f>IFERROR(__xludf.DUMMYFUNCTION("SPLIT(MID(C408,2,LEN(C408)-2), "","")"),619.0)</f>
        <v>619</v>
      </c>
      <c r="E408" s="7"/>
      <c r="F408" s="7"/>
      <c r="G408" s="2" t="str">
        <f t="array" ref="G408">IF(ISBLANK(D408), "", INDEX(Categories!$B:$B,MATCH(D408,Categories!$A:$A,0)))</f>
        <v>Jewelry</v>
      </c>
      <c r="H408" s="7" t="str">
        <f t="array" ref="H408">IF(ISBLANK(E408), "", INDEX(Categories!$B:$B,MATCH(E408,Categories!$A:$A,0)))</f>
        <v/>
      </c>
      <c r="I408" s="7" t="str">
        <f t="array" ref="I408">IF(ISBLANK(F408), "", INDEX(Categories!$B:$B,MATCH(F408,Categories!$A:$A,0)))</f>
        <v/>
      </c>
      <c r="J408" s="4"/>
      <c r="K408" s="4"/>
      <c r="L408" s="4"/>
      <c r="M408" s="4"/>
      <c r="N408" s="4"/>
      <c r="O408" s="4"/>
      <c r="P408" s="4"/>
      <c r="Q408" s="4"/>
    </row>
    <row r="409">
      <c r="A409" s="5">
        <v>408.0</v>
      </c>
      <c r="B409" s="5" t="s">
        <v>598</v>
      </c>
      <c r="C409" s="5" t="s">
        <v>599</v>
      </c>
      <c r="D409" s="6">
        <f>IFERROR(__xludf.DUMMYFUNCTION("SPLIT(MID(C409,2,LEN(C409)-2), "","")"),1340.0)</f>
        <v>1340</v>
      </c>
      <c r="E409" s="7"/>
      <c r="F409" s="7"/>
      <c r="G409" s="2" t="str">
        <f t="array" ref="G409">IF(ISBLANK(D409), "", INDEX(Categories!$B:$B,MATCH(D409,Categories!$A:$A,0)))</f>
        <v>Electric Equipment &amp; Supplies</v>
      </c>
      <c r="H409" s="7" t="str">
        <f t="array" ref="H409">IF(ISBLANK(E409), "", INDEX(Categories!$B:$B,MATCH(E409,Categories!$A:$A,0)))</f>
        <v/>
      </c>
      <c r="I409" s="7" t="str">
        <f t="array" ref="I409">IF(ISBLANK(F409), "", INDEX(Categories!$B:$B,MATCH(F409,Categories!$A:$A,0)))</f>
        <v/>
      </c>
      <c r="J409" s="4"/>
      <c r="K409" s="4"/>
      <c r="L409" s="4"/>
      <c r="M409" s="4"/>
      <c r="N409" s="4"/>
      <c r="O409" s="4"/>
      <c r="P409" s="4"/>
      <c r="Q409" s="4"/>
    </row>
    <row r="410">
      <c r="A410" s="5">
        <v>409.0</v>
      </c>
      <c r="B410" s="5" t="s">
        <v>600</v>
      </c>
      <c r="C410" s="5" t="s">
        <v>509</v>
      </c>
      <c r="D410" s="6">
        <f>IFERROR(__xludf.DUMMYFUNCTION("SPLIT(MID(C410,2,LEN(C410)-2), "","")"),1634.0)</f>
        <v>1634</v>
      </c>
      <c r="E410" s="7"/>
      <c r="F410" s="7"/>
      <c r="G410" s="2" t="str">
        <f t="array" ref="G410">IF(ISBLANK(D410), "", INDEX(Categories!$B:$B,MATCH(D410,Categories!$A:$A,0)))</f>
        <v>Fabric Shops</v>
      </c>
      <c r="H410" s="7" t="str">
        <f t="array" ref="H410">IF(ISBLANK(E410), "", INDEX(Categories!$B:$B,MATCH(E410,Categories!$A:$A,0)))</f>
        <v/>
      </c>
      <c r="I410" s="7" t="str">
        <f t="array" ref="I410">IF(ISBLANK(F410), "", INDEX(Categories!$B:$B,MATCH(F410,Categories!$A:$A,0)))</f>
        <v/>
      </c>
      <c r="J410" s="4"/>
      <c r="K410" s="4"/>
      <c r="L410" s="4"/>
      <c r="M410" s="4"/>
      <c r="N410" s="4"/>
      <c r="O410" s="4"/>
      <c r="P410" s="4"/>
      <c r="Q410" s="4"/>
    </row>
    <row r="411">
      <c r="A411" s="5">
        <v>410.0</v>
      </c>
      <c r="B411" s="5" t="s">
        <v>601</v>
      </c>
      <c r="C411" s="5" t="s">
        <v>602</v>
      </c>
      <c r="D411" s="6">
        <f>IFERROR(__xludf.DUMMYFUNCTION("SPLIT(MID(C411,2,LEN(C411)-2), "","")"),188.0)</f>
        <v>188</v>
      </c>
      <c r="E411" s="7"/>
      <c r="F411" s="7"/>
      <c r="G411" s="2" t="str">
        <f t="array" ref="G411">IF(ISBLANK(D411), "", INDEX(Categories!$B:$B,MATCH(D411,Categories!$A:$A,0)))</f>
        <v>Rehabilitation Services</v>
      </c>
      <c r="H411" s="7" t="str">
        <f t="array" ref="H411">IF(ISBLANK(E411), "", INDEX(Categories!$B:$B,MATCH(E411,Categories!$A:$A,0)))</f>
        <v/>
      </c>
      <c r="I411" s="7" t="str">
        <f t="array" ref="I411">IF(ISBLANK(F411), "", INDEX(Categories!$B:$B,MATCH(F411,Categories!$A:$A,0)))</f>
        <v/>
      </c>
      <c r="J411" s="4"/>
      <c r="K411" s="4"/>
      <c r="L411" s="4"/>
      <c r="M411" s="4"/>
      <c r="N411" s="4"/>
      <c r="O411" s="4"/>
      <c r="P411" s="4"/>
      <c r="Q411" s="4"/>
    </row>
    <row r="412">
      <c r="A412" s="5">
        <v>411.0</v>
      </c>
      <c r="B412" s="5" t="s">
        <v>603</v>
      </c>
      <c r="C412" s="5" t="s">
        <v>604</v>
      </c>
      <c r="D412" s="6">
        <f>IFERROR(__xludf.DUMMYFUNCTION("SPLIT(MID(C412,2,LEN(C412)-2), "","")"),1124.0)</f>
        <v>1124</v>
      </c>
      <c r="E412" s="7"/>
      <c r="F412" s="7"/>
      <c r="G412" s="2" t="str">
        <f t="array" ref="G412">IF(ISBLANK(D412), "", INDEX(Categories!$B:$B,MATCH(D412,Categories!$A:$A,0)))</f>
        <v>Farm Supplies Retail</v>
      </c>
      <c r="H412" s="7" t="str">
        <f t="array" ref="H412">IF(ISBLANK(E412), "", INDEX(Categories!$B:$B,MATCH(E412,Categories!$A:$A,0)))</f>
        <v/>
      </c>
      <c r="I412" s="7" t="str">
        <f t="array" ref="I412">IF(ISBLANK(F412), "", INDEX(Categories!$B:$B,MATCH(F412,Categories!$A:$A,0)))</f>
        <v/>
      </c>
      <c r="J412" s="4"/>
      <c r="K412" s="4"/>
      <c r="L412" s="4"/>
      <c r="M412" s="4"/>
      <c r="N412" s="4"/>
      <c r="O412" s="4"/>
      <c r="P412" s="4"/>
      <c r="Q412" s="4"/>
    </row>
    <row r="413">
      <c r="A413" s="5">
        <v>412.0</v>
      </c>
      <c r="B413" s="5" t="s">
        <v>605</v>
      </c>
      <c r="C413" s="5" t="s">
        <v>41</v>
      </c>
      <c r="D413" s="6">
        <f>IFERROR(__xludf.DUMMYFUNCTION("SPLIT(MID(C413,2,LEN(C413)-2), "","")"),93.0)</f>
        <v>93</v>
      </c>
      <c r="E413" s="7"/>
      <c r="F413" s="7"/>
      <c r="G413" s="2" t="str">
        <f t="array" ref="G413">IF(ISBLANK(D413), "", INDEX(Categories!$B:$B,MATCH(D413,Categories!$A:$A,0)))</f>
        <v>Automobile - Rentals</v>
      </c>
      <c r="H413" s="7" t="str">
        <f t="array" ref="H413">IF(ISBLANK(E413), "", INDEX(Categories!$B:$B,MATCH(E413,Categories!$A:$A,0)))</f>
        <v/>
      </c>
      <c r="I413" s="7" t="str">
        <f t="array" ref="I413">IF(ISBLANK(F413), "", INDEX(Categories!$B:$B,MATCH(F413,Categories!$A:$A,0)))</f>
        <v/>
      </c>
      <c r="J413" s="4"/>
      <c r="K413" s="4"/>
      <c r="L413" s="4"/>
      <c r="M413" s="4"/>
      <c r="N413" s="4"/>
      <c r="O413" s="4"/>
      <c r="P413" s="4"/>
      <c r="Q413" s="4"/>
    </row>
    <row r="414">
      <c r="A414" s="5">
        <v>413.0</v>
      </c>
      <c r="B414" s="5" t="s">
        <v>606</v>
      </c>
      <c r="C414" s="5" t="s">
        <v>69</v>
      </c>
      <c r="D414" s="6">
        <f>IFERROR(__xludf.DUMMYFUNCTION("SPLIT(MID(C414,2,LEN(C414)-2), "","")"),293.0)</f>
        <v>293</v>
      </c>
      <c r="E414" s="7"/>
      <c r="F414" s="7"/>
      <c r="G414" s="2" t="str">
        <f t="array" ref="G414">IF(ISBLANK(D414), "", INDEX(Categories!$B:$B,MATCH(D414,Categories!$A:$A,0)))</f>
        <v>Banks Commercial</v>
      </c>
      <c r="H414" s="7" t="str">
        <f t="array" ref="H414">IF(ISBLANK(E414), "", INDEX(Categories!$B:$B,MATCH(E414,Categories!$A:$A,0)))</f>
        <v/>
      </c>
      <c r="I414" s="7" t="str">
        <f t="array" ref="I414">IF(ISBLANK(F414), "", INDEX(Categories!$B:$B,MATCH(F414,Categories!$A:$A,0)))</f>
        <v/>
      </c>
      <c r="J414" s="4"/>
      <c r="K414" s="4"/>
      <c r="L414" s="4"/>
      <c r="M414" s="4"/>
      <c r="N414" s="4"/>
      <c r="O414" s="4"/>
      <c r="P414" s="4"/>
      <c r="Q414" s="4"/>
    </row>
    <row r="415">
      <c r="A415" s="5">
        <v>414.0</v>
      </c>
      <c r="B415" s="5" t="s">
        <v>607</v>
      </c>
      <c r="C415" s="5" t="s">
        <v>111</v>
      </c>
      <c r="D415" s="6">
        <f>IFERROR(__xludf.DUMMYFUNCTION("SPLIT(MID(C415,2,LEN(C415)-2), "","")"),444.0)</f>
        <v>444</v>
      </c>
      <c r="E415" s="7"/>
      <c r="F415" s="7"/>
      <c r="G415" s="2" t="str">
        <f t="array" ref="G415">IF(ISBLANK(D415), "", INDEX(Categories!$B:$B,MATCH(D415,Categories!$A:$A,0)))</f>
        <v>Hair Salons &amp; Barbers</v>
      </c>
      <c r="H415" s="7" t="str">
        <f t="array" ref="H415">IF(ISBLANK(E415), "", INDEX(Categories!$B:$B,MATCH(E415,Categories!$A:$A,0)))</f>
        <v/>
      </c>
      <c r="I415" s="7" t="str">
        <f t="array" ref="I415">IF(ISBLANK(F415), "", INDEX(Categories!$B:$B,MATCH(F415,Categories!$A:$A,0)))</f>
        <v/>
      </c>
      <c r="J415" s="4"/>
      <c r="K415" s="4"/>
      <c r="L415" s="4"/>
      <c r="M415" s="4"/>
      <c r="N415" s="4"/>
      <c r="O415" s="4"/>
      <c r="P415" s="4"/>
      <c r="Q415" s="4"/>
    </row>
    <row r="416">
      <c r="A416" s="5">
        <v>415.0</v>
      </c>
      <c r="B416" s="5" t="s">
        <v>608</v>
      </c>
      <c r="C416" s="5" t="s">
        <v>609</v>
      </c>
      <c r="D416" s="6">
        <f>IFERROR(__xludf.DUMMYFUNCTION("SPLIT(MID(C416,2,LEN(C416)-2), "","")"),278.0)</f>
        <v>278</v>
      </c>
      <c r="E416" s="7"/>
      <c r="F416" s="7"/>
      <c r="G416" s="2" t="str">
        <f t="array" ref="G416">IF(ISBLANK(D416), "", INDEX(Categories!$B:$B,MATCH(D416,Categories!$A:$A,0)))</f>
        <v>Organizing Products &amp; Services Household &amp; Business</v>
      </c>
      <c r="H416" s="7" t="str">
        <f t="array" ref="H416">IF(ISBLANK(E416), "", INDEX(Categories!$B:$B,MATCH(E416,Categories!$A:$A,0)))</f>
        <v/>
      </c>
      <c r="I416" s="7" t="str">
        <f t="array" ref="I416">IF(ISBLANK(F416), "", INDEX(Categories!$B:$B,MATCH(F416,Categories!$A:$A,0)))</f>
        <v/>
      </c>
      <c r="J416" s="4"/>
      <c r="K416" s="4"/>
      <c r="L416" s="4"/>
      <c r="M416" s="4"/>
      <c r="N416" s="4"/>
      <c r="O416" s="4"/>
      <c r="P416" s="4"/>
      <c r="Q416" s="4"/>
    </row>
    <row r="417">
      <c r="A417" s="5">
        <v>416.0</v>
      </c>
      <c r="B417" s="5" t="s">
        <v>610</v>
      </c>
      <c r="C417" s="5" t="s">
        <v>69</v>
      </c>
      <c r="D417" s="6">
        <f>IFERROR(__xludf.DUMMYFUNCTION("SPLIT(MID(C417,2,LEN(C417)-2), "","")"),293.0)</f>
        <v>293</v>
      </c>
      <c r="E417" s="7"/>
      <c r="F417" s="7"/>
      <c r="G417" s="2" t="str">
        <f t="array" ref="G417">IF(ISBLANK(D417), "", INDEX(Categories!$B:$B,MATCH(D417,Categories!$A:$A,0)))</f>
        <v>Banks Commercial</v>
      </c>
      <c r="H417" s="7" t="str">
        <f t="array" ref="H417">IF(ISBLANK(E417), "", INDEX(Categories!$B:$B,MATCH(E417,Categories!$A:$A,0)))</f>
        <v/>
      </c>
      <c r="I417" s="7" t="str">
        <f t="array" ref="I417">IF(ISBLANK(F417), "", INDEX(Categories!$B:$B,MATCH(F417,Categories!$A:$A,0)))</f>
        <v/>
      </c>
      <c r="J417" s="4"/>
      <c r="K417" s="4"/>
      <c r="L417" s="4"/>
      <c r="M417" s="4"/>
      <c r="N417" s="4"/>
      <c r="O417" s="4"/>
      <c r="P417" s="4"/>
      <c r="Q417" s="4"/>
    </row>
    <row r="418">
      <c r="A418" s="5">
        <v>417.0</v>
      </c>
      <c r="B418" s="5" t="s">
        <v>611</v>
      </c>
      <c r="C418" s="5" t="s">
        <v>612</v>
      </c>
      <c r="D418" s="6">
        <f>IFERROR(__xludf.DUMMYFUNCTION("SPLIT(MID(C418,2,LEN(C418)-2), "","")"),2805.0)</f>
        <v>2805</v>
      </c>
      <c r="E418" s="7"/>
      <c r="F418" s="7"/>
      <c r="G418" s="2" t="str">
        <f t="array" ref="G418">IF(ISBLANK(D418), "", INDEX(Categories!$B:$B,MATCH(D418,Categories!$A:$A,0)))</f>
        <v>Security Control Equipment Systems &amp; Monitoring</v>
      </c>
      <c r="H418" s="7" t="str">
        <f t="array" ref="H418">IF(ISBLANK(E418), "", INDEX(Categories!$B:$B,MATCH(E418,Categories!$A:$A,0)))</f>
        <v/>
      </c>
      <c r="I418" s="7" t="str">
        <f t="array" ref="I418">IF(ISBLANK(F418), "", INDEX(Categories!$B:$B,MATCH(F418,Categories!$A:$A,0)))</f>
        <v/>
      </c>
      <c r="J418" s="4"/>
      <c r="K418" s="4"/>
      <c r="L418" s="4"/>
      <c r="M418" s="4"/>
      <c r="N418" s="4"/>
      <c r="O418" s="4"/>
      <c r="P418" s="4"/>
      <c r="Q418" s="4"/>
    </row>
    <row r="419">
      <c r="A419" s="5">
        <v>418.0</v>
      </c>
      <c r="B419" s="5" t="s">
        <v>613</v>
      </c>
      <c r="C419" s="5" t="s">
        <v>87</v>
      </c>
      <c r="D419" s="6">
        <f>IFERROR(__xludf.DUMMYFUNCTION("SPLIT(MID(C419,2,LEN(C419)-2), "","")"),168.0)</f>
        <v>168</v>
      </c>
      <c r="E419" s="7"/>
      <c r="F419" s="7"/>
      <c r="G419" s="2" t="str">
        <f t="array" ref="G419">IF(ISBLANK(D419), "", INDEX(Categories!$B:$B,MATCH(D419,Categories!$A:$A,0)))</f>
        <v>Hotels &amp; Motels</v>
      </c>
      <c r="H419" s="7" t="str">
        <f t="array" ref="H419">IF(ISBLANK(E419), "", INDEX(Categories!$B:$B,MATCH(E419,Categories!$A:$A,0)))</f>
        <v/>
      </c>
      <c r="I419" s="7" t="str">
        <f t="array" ref="I419">IF(ISBLANK(F419), "", INDEX(Categories!$B:$B,MATCH(F419,Categories!$A:$A,0)))</f>
        <v/>
      </c>
      <c r="J419" s="4"/>
      <c r="K419" s="4"/>
      <c r="L419" s="4"/>
      <c r="M419" s="4"/>
      <c r="N419" s="4"/>
      <c r="O419" s="4"/>
      <c r="P419" s="4"/>
      <c r="Q419" s="4"/>
    </row>
    <row r="420">
      <c r="A420" s="5">
        <v>419.0</v>
      </c>
      <c r="B420" s="5" t="s">
        <v>614</v>
      </c>
      <c r="C420" s="5" t="s">
        <v>62</v>
      </c>
      <c r="D420" s="6">
        <f>IFERROR(__xludf.DUMMYFUNCTION("SPLIT(MID(C420,2,LEN(C420)-2), "","")"),242.0)</f>
        <v>242</v>
      </c>
      <c r="E420" s="7"/>
      <c r="F420" s="7"/>
      <c r="G420" s="2" t="str">
        <f t="array" ref="G420">IF(ISBLANK(D420), "", INDEX(Categories!$B:$B,MATCH(D420,Categories!$A:$A,0)))</f>
        <v>Restaurants Pizza</v>
      </c>
      <c r="H420" s="7" t="str">
        <f t="array" ref="H420">IF(ISBLANK(E420), "", INDEX(Categories!$B:$B,MATCH(E420,Categories!$A:$A,0)))</f>
        <v/>
      </c>
      <c r="I420" s="7" t="str">
        <f t="array" ref="I420">IF(ISBLANK(F420), "", INDEX(Categories!$B:$B,MATCH(F420,Categories!$A:$A,0)))</f>
        <v/>
      </c>
      <c r="J420" s="4"/>
      <c r="K420" s="4"/>
      <c r="L420" s="4"/>
      <c r="M420" s="4"/>
      <c r="N420" s="4"/>
      <c r="O420" s="4"/>
      <c r="P420" s="4"/>
      <c r="Q420" s="4"/>
    </row>
    <row r="421">
      <c r="A421" s="5">
        <v>420.0</v>
      </c>
      <c r="B421" s="5" t="s">
        <v>615</v>
      </c>
      <c r="C421" s="5" t="s">
        <v>43</v>
      </c>
      <c r="D421" s="6">
        <f>IFERROR(__xludf.DUMMYFUNCTION("SPLIT(MID(C421,2,LEN(C421)-2), "","")"),292.0)</f>
        <v>292</v>
      </c>
      <c r="E421" s="7"/>
      <c r="F421" s="7"/>
      <c r="G421" s="2" t="str">
        <f t="array" ref="G421">IF(ISBLANK(D421), "", INDEX(Categories!$B:$B,MATCH(D421,Categories!$A:$A,0)))</f>
        <v>Banks</v>
      </c>
      <c r="H421" s="7" t="str">
        <f t="array" ref="H421">IF(ISBLANK(E421), "", INDEX(Categories!$B:$B,MATCH(E421,Categories!$A:$A,0)))</f>
        <v/>
      </c>
      <c r="I421" s="7" t="str">
        <f t="array" ref="I421">IF(ISBLANK(F421), "", INDEX(Categories!$B:$B,MATCH(F421,Categories!$A:$A,0)))</f>
        <v/>
      </c>
      <c r="J421" s="4"/>
      <c r="K421" s="4"/>
      <c r="L421" s="4"/>
      <c r="M421" s="4"/>
      <c r="N421" s="4"/>
      <c r="O421" s="4"/>
      <c r="P421" s="4"/>
      <c r="Q421" s="4"/>
    </row>
    <row r="422">
      <c r="A422" s="5">
        <v>421.0</v>
      </c>
      <c r="B422" s="5" t="s">
        <v>616</v>
      </c>
      <c r="C422" s="5" t="s">
        <v>232</v>
      </c>
      <c r="D422" s="6">
        <f>IFERROR(__xludf.DUMMYFUNCTION("SPLIT(MID(C422,2,LEN(C422)-2), "","")"),956.0)</f>
        <v>956</v>
      </c>
      <c r="E422" s="7"/>
      <c r="F422" s="7"/>
      <c r="G422" s="2" t="str">
        <f t="array" ref="G422">IF(ISBLANK(D422), "", INDEX(Categories!$B:$B,MATCH(D422,Categories!$A:$A,0)))</f>
        <v>Painting Supplies</v>
      </c>
      <c r="H422" s="7" t="str">
        <f t="array" ref="H422">IF(ISBLANK(E422), "", INDEX(Categories!$B:$B,MATCH(E422,Categories!$A:$A,0)))</f>
        <v/>
      </c>
      <c r="I422" s="7" t="str">
        <f t="array" ref="I422">IF(ISBLANK(F422), "", INDEX(Categories!$B:$B,MATCH(F422,Categories!$A:$A,0)))</f>
        <v/>
      </c>
      <c r="J422" s="4"/>
      <c r="K422" s="4"/>
      <c r="L422" s="4"/>
      <c r="M422" s="4"/>
      <c r="N422" s="4"/>
      <c r="O422" s="4"/>
      <c r="P422" s="4"/>
      <c r="Q422" s="4"/>
    </row>
    <row r="423">
      <c r="A423" s="5">
        <v>422.0</v>
      </c>
      <c r="B423" s="5" t="s">
        <v>617</v>
      </c>
      <c r="C423" s="5" t="s">
        <v>515</v>
      </c>
      <c r="D423" s="6">
        <f>IFERROR(__xludf.DUMMYFUNCTION("SPLIT(MID(C423,2,LEN(C423)-2), "","")"),2490.0)</f>
        <v>2490</v>
      </c>
      <c r="E423" s="7"/>
      <c r="F423" s="7"/>
      <c r="G423" s="2" t="str">
        <f t="array" ref="G423">IF(ISBLANK(D423), "", INDEX(Categories!$B:$B,MATCH(D423,Categories!$A:$A,0)))</f>
        <v>Labor Organizations</v>
      </c>
      <c r="H423" s="7" t="str">
        <f t="array" ref="H423">IF(ISBLANK(E423), "", INDEX(Categories!$B:$B,MATCH(E423,Categories!$A:$A,0)))</f>
        <v/>
      </c>
      <c r="I423" s="7" t="str">
        <f t="array" ref="I423">IF(ISBLANK(F423), "", INDEX(Categories!$B:$B,MATCH(F423,Categories!$A:$A,0)))</f>
        <v/>
      </c>
      <c r="J423" s="4"/>
      <c r="K423" s="4"/>
      <c r="L423" s="4"/>
      <c r="M423" s="4"/>
      <c r="N423" s="4"/>
      <c r="O423" s="4"/>
      <c r="P423" s="4"/>
      <c r="Q423" s="4"/>
    </row>
    <row r="424">
      <c r="A424" s="5">
        <v>423.0</v>
      </c>
      <c r="B424" s="5" t="s">
        <v>618</v>
      </c>
      <c r="C424" s="5" t="s">
        <v>619</v>
      </c>
      <c r="D424" s="6">
        <f>IFERROR(__xludf.DUMMYFUNCTION("SPLIT(MID(C424,2,LEN(C424)-2), "","")"),2598.0)</f>
        <v>2598</v>
      </c>
      <c r="E424" s="7"/>
      <c r="F424" s="7"/>
      <c r="G424" s="2" t="str">
        <f t="array" ref="G424">IF(ISBLANK(D424), "", INDEX(Categories!$B:$B,MATCH(D424,Categories!$A:$A,0)))</f>
        <v>Fitness Centers</v>
      </c>
      <c r="H424" s="7" t="str">
        <f t="array" ref="H424">IF(ISBLANK(E424), "", INDEX(Categories!$B:$B,MATCH(E424,Categories!$A:$A,0)))</f>
        <v/>
      </c>
      <c r="I424" s="7" t="str">
        <f t="array" ref="I424">IF(ISBLANK(F424), "", INDEX(Categories!$B:$B,MATCH(F424,Categories!$A:$A,0)))</f>
        <v/>
      </c>
      <c r="J424" s="4"/>
      <c r="K424" s="4"/>
      <c r="L424" s="4"/>
      <c r="M424" s="4"/>
      <c r="N424" s="4"/>
      <c r="O424" s="4"/>
      <c r="P424" s="4"/>
      <c r="Q424" s="4"/>
    </row>
    <row r="425">
      <c r="A425" s="5">
        <v>424.0</v>
      </c>
      <c r="B425" s="5" t="s">
        <v>620</v>
      </c>
      <c r="C425" s="5" t="s">
        <v>18</v>
      </c>
      <c r="D425" s="6">
        <f>IFERROR(__xludf.DUMMYFUNCTION("SPLIT(MID(C425,2,LEN(C425)-2), "","")"),121.0)</f>
        <v>121</v>
      </c>
      <c r="E425" s="7"/>
      <c r="F425" s="7"/>
      <c r="G425" s="2" t="str">
        <f t="array" ref="G425">IF(ISBLANK(D425), "", INDEX(Categories!$B:$B,MATCH(D425,Categories!$A:$A,0)))</f>
        <v>Insurance</v>
      </c>
      <c r="H425" s="7" t="str">
        <f t="array" ref="H425">IF(ISBLANK(E425), "", INDEX(Categories!$B:$B,MATCH(E425,Categories!$A:$A,0)))</f>
        <v/>
      </c>
      <c r="I425" s="7" t="str">
        <f t="array" ref="I425">IF(ISBLANK(F425), "", INDEX(Categories!$B:$B,MATCH(F425,Categories!$A:$A,0)))</f>
        <v/>
      </c>
      <c r="J425" s="4"/>
      <c r="K425" s="4"/>
      <c r="L425" s="4"/>
      <c r="M425" s="4"/>
      <c r="N425" s="4"/>
      <c r="O425" s="4"/>
      <c r="P425" s="4"/>
      <c r="Q425" s="4"/>
    </row>
    <row r="426">
      <c r="A426" s="5">
        <v>425.0</v>
      </c>
      <c r="B426" s="5" t="s">
        <v>621</v>
      </c>
      <c r="C426" s="5" t="s">
        <v>622</v>
      </c>
      <c r="D426" s="6">
        <f>IFERROR(__xludf.DUMMYFUNCTION("SPLIT(MID(C426,2,LEN(C426)-2), "","")"),126.0)</f>
        <v>126</v>
      </c>
      <c r="E426" s="7"/>
      <c r="F426" s="7"/>
      <c r="G426" s="2" t="str">
        <f t="array" ref="G426">IF(ISBLANK(D426), "", INDEX(Categories!$B:$B,MATCH(D426,Categories!$A:$A,0)))</f>
        <v>Health Maintenance Organizations (hmo)</v>
      </c>
      <c r="H426" s="7" t="str">
        <f t="array" ref="H426">IF(ISBLANK(E426), "", INDEX(Categories!$B:$B,MATCH(E426,Categories!$A:$A,0)))</f>
        <v/>
      </c>
      <c r="I426" s="7" t="str">
        <f t="array" ref="I426">IF(ISBLANK(F426), "", INDEX(Categories!$B:$B,MATCH(F426,Categories!$A:$A,0)))</f>
        <v/>
      </c>
      <c r="J426" s="4"/>
      <c r="K426" s="4"/>
      <c r="L426" s="4"/>
      <c r="M426" s="4"/>
      <c r="N426" s="4"/>
      <c r="O426" s="4"/>
      <c r="P426" s="4"/>
      <c r="Q426" s="4"/>
    </row>
    <row r="427">
      <c r="A427" s="5">
        <v>426.0</v>
      </c>
      <c r="B427" s="5" t="s">
        <v>623</v>
      </c>
      <c r="C427" s="5" t="s">
        <v>34</v>
      </c>
      <c r="D427" s="6">
        <f>IFERROR(__xludf.DUMMYFUNCTION("SPLIT(MID(C427,2,LEN(C427)-2), "","")"),228.0)</f>
        <v>228</v>
      </c>
      <c r="E427" s="7"/>
      <c r="F427" s="7"/>
      <c r="G427" s="2" t="str">
        <f t="array" ref="G427">IF(ISBLANK(D427), "", INDEX(Categories!$B:$B,MATCH(D427,Categories!$A:$A,0)))</f>
        <v>Restaurants</v>
      </c>
      <c r="H427" s="7" t="str">
        <f t="array" ref="H427">IF(ISBLANK(E427), "", INDEX(Categories!$B:$B,MATCH(E427,Categories!$A:$A,0)))</f>
        <v/>
      </c>
      <c r="I427" s="7" t="str">
        <f t="array" ref="I427">IF(ISBLANK(F427), "", INDEX(Categories!$B:$B,MATCH(F427,Categories!$A:$A,0)))</f>
        <v/>
      </c>
      <c r="J427" s="4"/>
      <c r="K427" s="4"/>
      <c r="L427" s="4"/>
      <c r="M427" s="4"/>
      <c r="N427" s="4"/>
      <c r="O427" s="4"/>
      <c r="P427" s="4"/>
      <c r="Q427" s="4"/>
    </row>
    <row r="428">
      <c r="A428" s="5">
        <v>427.0</v>
      </c>
      <c r="B428" s="5" t="s">
        <v>624</v>
      </c>
      <c r="C428" s="5" t="s">
        <v>69</v>
      </c>
      <c r="D428" s="6">
        <f>IFERROR(__xludf.DUMMYFUNCTION("SPLIT(MID(C428,2,LEN(C428)-2), "","")"),293.0)</f>
        <v>293</v>
      </c>
      <c r="E428" s="7"/>
      <c r="F428" s="7"/>
      <c r="G428" s="2" t="str">
        <f t="array" ref="G428">IF(ISBLANK(D428), "", INDEX(Categories!$B:$B,MATCH(D428,Categories!$A:$A,0)))</f>
        <v>Banks Commercial</v>
      </c>
      <c r="H428" s="7" t="str">
        <f t="array" ref="H428">IF(ISBLANK(E428), "", INDEX(Categories!$B:$B,MATCH(E428,Categories!$A:$A,0)))</f>
        <v/>
      </c>
      <c r="I428" s="7" t="str">
        <f t="array" ref="I428">IF(ISBLANK(F428), "", INDEX(Categories!$B:$B,MATCH(F428,Categories!$A:$A,0)))</f>
        <v/>
      </c>
      <c r="J428" s="4"/>
      <c r="K428" s="4"/>
      <c r="L428" s="4"/>
      <c r="M428" s="4"/>
      <c r="N428" s="4"/>
      <c r="O428" s="4"/>
      <c r="P428" s="4"/>
      <c r="Q428" s="4"/>
    </row>
    <row r="429">
      <c r="A429" s="5">
        <v>428.0</v>
      </c>
      <c r="B429" s="5" t="s">
        <v>625</v>
      </c>
      <c r="C429" s="5" t="s">
        <v>626</v>
      </c>
      <c r="D429" s="6">
        <f>IFERROR(__xludf.DUMMYFUNCTION("SPLIT(MID(C429,2,LEN(C429)-2), "","")"),1247.0)</f>
        <v>1247</v>
      </c>
      <c r="E429" s="7"/>
      <c r="F429" s="7"/>
      <c r="G429" s="2" t="str">
        <f t="array" ref="G429">IF(ISBLANK(D429), "", INDEX(Categories!$B:$B,MATCH(D429,Categories!$A:$A,0)))</f>
        <v>Clothing Children &amp; Infant</v>
      </c>
      <c r="H429" s="7" t="str">
        <f t="array" ref="H429">IF(ISBLANK(E429), "", INDEX(Categories!$B:$B,MATCH(E429,Categories!$A:$A,0)))</f>
        <v/>
      </c>
      <c r="I429" s="7" t="str">
        <f t="array" ref="I429">IF(ISBLANK(F429), "", INDEX(Categories!$B:$B,MATCH(F429,Categories!$A:$A,0)))</f>
        <v/>
      </c>
      <c r="J429" s="4"/>
      <c r="K429" s="4"/>
      <c r="L429" s="4"/>
      <c r="M429" s="4"/>
      <c r="N429" s="4"/>
      <c r="O429" s="4"/>
      <c r="P429" s="4"/>
      <c r="Q429" s="4"/>
    </row>
    <row r="430">
      <c r="A430" s="5">
        <v>429.0</v>
      </c>
      <c r="B430" s="5" t="s">
        <v>627</v>
      </c>
      <c r="C430" s="5" t="s">
        <v>87</v>
      </c>
      <c r="D430" s="6">
        <f>IFERROR(__xludf.DUMMYFUNCTION("SPLIT(MID(C430,2,LEN(C430)-2), "","")"),168.0)</f>
        <v>168</v>
      </c>
      <c r="E430" s="7"/>
      <c r="F430" s="7"/>
      <c r="G430" s="2" t="str">
        <f t="array" ref="G430">IF(ISBLANK(D430), "", INDEX(Categories!$B:$B,MATCH(D430,Categories!$A:$A,0)))</f>
        <v>Hotels &amp; Motels</v>
      </c>
      <c r="H430" s="7" t="str">
        <f t="array" ref="H430">IF(ISBLANK(E430), "", INDEX(Categories!$B:$B,MATCH(E430,Categories!$A:$A,0)))</f>
        <v/>
      </c>
      <c r="I430" s="7" t="str">
        <f t="array" ref="I430">IF(ISBLANK(F430), "", INDEX(Categories!$B:$B,MATCH(F430,Categories!$A:$A,0)))</f>
        <v/>
      </c>
      <c r="J430" s="4"/>
      <c r="K430" s="4"/>
      <c r="L430" s="4"/>
      <c r="M430" s="4"/>
      <c r="N430" s="4"/>
      <c r="O430" s="4"/>
      <c r="P430" s="4"/>
      <c r="Q430" s="4"/>
    </row>
    <row r="431">
      <c r="A431" s="5">
        <v>430.0</v>
      </c>
      <c r="B431" s="5" t="s">
        <v>628</v>
      </c>
      <c r="C431" s="5" t="s">
        <v>139</v>
      </c>
      <c r="D431" s="6">
        <f>IFERROR(__xludf.DUMMYFUNCTION("SPLIT(MID(C431,2,LEN(C431)-2), "","")"),1617.0)</f>
        <v>1617</v>
      </c>
      <c r="E431" s="7"/>
      <c r="F431" s="7"/>
      <c r="G431" s="2" t="str">
        <f t="array" ref="G431">IF(ISBLANK(D431), "", INDEX(Categories!$B:$B,MATCH(D431,Categories!$A:$A,0)))</f>
        <v>Department Stores</v>
      </c>
      <c r="H431" s="7" t="str">
        <f t="array" ref="H431">IF(ISBLANK(E431), "", INDEX(Categories!$B:$B,MATCH(E431,Categories!$A:$A,0)))</f>
        <v/>
      </c>
      <c r="I431" s="7" t="str">
        <f t="array" ref="I431">IF(ISBLANK(F431), "", INDEX(Categories!$B:$B,MATCH(F431,Categories!$A:$A,0)))</f>
        <v/>
      </c>
      <c r="J431" s="4"/>
      <c r="K431" s="4"/>
      <c r="L431" s="4"/>
      <c r="M431" s="4"/>
      <c r="N431" s="4"/>
      <c r="O431" s="4"/>
      <c r="P431" s="4"/>
      <c r="Q431" s="4"/>
    </row>
    <row r="432">
      <c r="A432" s="5">
        <v>431.0</v>
      </c>
      <c r="B432" s="5" t="s">
        <v>629</v>
      </c>
      <c r="C432" s="5" t="s">
        <v>179</v>
      </c>
      <c r="D432" s="6">
        <f>IFERROR(__xludf.DUMMYFUNCTION("SPLIT(MID(C432,2,LEN(C432)-2), "","")"),2247.0)</f>
        <v>2247</v>
      </c>
      <c r="E432" s="7"/>
      <c r="F432" s="7"/>
      <c r="G432" s="2" t="str">
        <f t="array" ref="G432">IF(ISBLANK(D432), "", INDEX(Categories!$B:$B,MATCH(D432,Categories!$A:$A,0)))</f>
        <v>Copying &amp; Duplicating Service</v>
      </c>
      <c r="H432" s="7" t="str">
        <f t="array" ref="H432">IF(ISBLANK(E432), "", INDEX(Categories!$B:$B,MATCH(E432,Categories!$A:$A,0)))</f>
        <v/>
      </c>
      <c r="I432" s="7" t="str">
        <f t="array" ref="I432">IF(ISBLANK(F432), "", INDEX(Categories!$B:$B,MATCH(F432,Categories!$A:$A,0)))</f>
        <v/>
      </c>
      <c r="J432" s="4"/>
      <c r="K432" s="4"/>
      <c r="L432" s="4"/>
      <c r="M432" s="4"/>
      <c r="N432" s="4"/>
      <c r="O432" s="4"/>
      <c r="P432" s="4"/>
      <c r="Q432" s="4"/>
    </row>
    <row r="433">
      <c r="A433" s="5">
        <v>432.0</v>
      </c>
      <c r="B433" s="5" t="s">
        <v>630</v>
      </c>
      <c r="C433" s="5" t="s">
        <v>631</v>
      </c>
      <c r="D433" s="6">
        <f>IFERROR(__xludf.DUMMYFUNCTION("SPLIT(MID(C433,2,LEN(C433)-2), "","")"),25.0)</f>
        <v>25</v>
      </c>
      <c r="E433" s="7"/>
      <c r="F433" s="7"/>
      <c r="G433" s="2" t="str">
        <f t="array" ref="G433">IF(ISBLANK(D433), "", INDEX(Categories!$B:$B,MATCH(D433,Categories!$A:$A,0)))</f>
        <v>Furniture Dealers</v>
      </c>
      <c r="H433" s="7" t="str">
        <f t="array" ref="H433">IF(ISBLANK(E433), "", INDEX(Categories!$B:$B,MATCH(E433,Categories!$A:$A,0)))</f>
        <v/>
      </c>
      <c r="I433" s="7" t="str">
        <f t="array" ref="I433">IF(ISBLANK(F433), "", INDEX(Categories!$B:$B,MATCH(F433,Categories!$A:$A,0)))</f>
        <v/>
      </c>
      <c r="J433" s="4"/>
      <c r="K433" s="4"/>
      <c r="L433" s="4"/>
      <c r="M433" s="4"/>
      <c r="N433" s="4"/>
      <c r="O433" s="4"/>
      <c r="P433" s="4"/>
      <c r="Q433" s="4"/>
    </row>
    <row r="434">
      <c r="A434" s="5">
        <v>433.0</v>
      </c>
      <c r="B434" s="5" t="s">
        <v>632</v>
      </c>
      <c r="C434" s="5" t="s">
        <v>130</v>
      </c>
      <c r="D434" s="6">
        <f>IFERROR(__xludf.DUMMYFUNCTION("SPLIT(MID(C434,2,LEN(C434)-2), "","")"),1471.0)</f>
        <v>1471</v>
      </c>
      <c r="E434" s="7"/>
      <c r="F434" s="7"/>
      <c r="G434" s="2" t="str">
        <f t="array" ref="G434">IF(ISBLANK(D434), "", INDEX(Categories!$B:$B,MATCH(D434,Categories!$A:$A,0)))</f>
        <v>Bus Lines</v>
      </c>
      <c r="H434" s="7" t="str">
        <f t="array" ref="H434">IF(ISBLANK(E434), "", INDEX(Categories!$B:$B,MATCH(E434,Categories!$A:$A,0)))</f>
        <v/>
      </c>
      <c r="I434" s="7" t="str">
        <f t="array" ref="I434">IF(ISBLANK(F434), "", INDEX(Categories!$B:$B,MATCH(F434,Categories!$A:$A,0)))</f>
        <v/>
      </c>
      <c r="J434" s="4"/>
      <c r="K434" s="4"/>
      <c r="L434" s="4"/>
      <c r="M434" s="4"/>
      <c r="N434" s="4"/>
      <c r="O434" s="4"/>
      <c r="P434" s="4"/>
      <c r="Q434" s="4"/>
    </row>
    <row r="435">
      <c r="A435" s="5">
        <v>434.0</v>
      </c>
      <c r="B435" s="5" t="s">
        <v>633</v>
      </c>
      <c r="C435" s="5" t="s">
        <v>115</v>
      </c>
      <c r="D435" s="6">
        <f>IFERROR(__xludf.DUMMYFUNCTION("SPLIT(MID(C435,2,LEN(C435)-2), "","")"),1272.0)</f>
        <v>1272</v>
      </c>
      <c r="E435" s="7"/>
      <c r="F435" s="7"/>
      <c r="G435" s="2" t="str">
        <f t="array" ref="G435">IF(ISBLANK(D435), "", INDEX(Categories!$B:$B,MATCH(D435,Categories!$A:$A,0)))</f>
        <v>Womens Apparel</v>
      </c>
      <c r="H435" s="7" t="str">
        <f t="array" ref="H435">IF(ISBLANK(E435), "", INDEX(Categories!$B:$B,MATCH(E435,Categories!$A:$A,0)))</f>
        <v/>
      </c>
      <c r="I435" s="7" t="str">
        <f t="array" ref="I435">IF(ISBLANK(F435), "", INDEX(Categories!$B:$B,MATCH(F435,Categories!$A:$A,0)))</f>
        <v/>
      </c>
      <c r="J435" s="4"/>
      <c r="K435" s="4"/>
      <c r="L435" s="4"/>
      <c r="M435" s="4"/>
      <c r="N435" s="4"/>
      <c r="O435" s="4"/>
      <c r="P435" s="4"/>
      <c r="Q435" s="4"/>
    </row>
    <row r="436">
      <c r="A436" s="5">
        <v>435.0</v>
      </c>
      <c r="B436" s="5" t="s">
        <v>634</v>
      </c>
      <c r="C436" s="5" t="s">
        <v>635</v>
      </c>
      <c r="D436" s="6">
        <f>IFERROR(__xludf.DUMMYFUNCTION("SPLIT(MID(C436,2,LEN(C436)-2), "","")"),1122.0)</f>
        <v>1122</v>
      </c>
      <c r="E436" s="7"/>
      <c r="F436" s="7"/>
      <c r="G436" s="2" t="str">
        <f t="array" ref="G436">IF(ISBLANK(D436), "", INDEX(Categories!$B:$B,MATCH(D436,Categories!$A:$A,0)))</f>
        <v>Farm Equipment Parts &amp; Repair</v>
      </c>
      <c r="H436" s="7" t="str">
        <f t="array" ref="H436">IF(ISBLANK(E436), "", INDEX(Categories!$B:$B,MATCH(E436,Categories!$A:$A,0)))</f>
        <v/>
      </c>
      <c r="I436" s="7" t="str">
        <f t="array" ref="I436">IF(ISBLANK(F436), "", INDEX(Categories!$B:$B,MATCH(F436,Categories!$A:$A,0)))</f>
        <v/>
      </c>
      <c r="J436" s="4"/>
      <c r="K436" s="4"/>
      <c r="L436" s="4"/>
      <c r="M436" s="4"/>
      <c r="N436" s="4"/>
      <c r="O436" s="4"/>
      <c r="P436" s="4"/>
      <c r="Q436" s="4"/>
    </row>
    <row r="437">
      <c r="A437" s="5">
        <v>436.0</v>
      </c>
      <c r="B437" s="5" t="s">
        <v>636</v>
      </c>
      <c r="C437" s="5" t="s">
        <v>637</v>
      </c>
      <c r="D437" s="6">
        <f>IFERROR(__xludf.DUMMYFUNCTION("SPLIT(MID(C437,2,LEN(C437)-2), "","")"),1527.0)</f>
        <v>1527</v>
      </c>
      <c r="E437" s="7"/>
      <c r="F437" s="7"/>
      <c r="G437" s="2" t="str">
        <f t="array" ref="G437">IF(ISBLANK(D437), "", INDEX(Categories!$B:$B,MATCH(D437,Categories!$A:$A,0)))</f>
        <v>Swimming Pool Equipment &amp; Supplies</v>
      </c>
      <c r="H437" s="7" t="str">
        <f t="array" ref="H437">IF(ISBLANK(E437), "", INDEX(Categories!$B:$B,MATCH(E437,Categories!$A:$A,0)))</f>
        <v/>
      </c>
      <c r="I437" s="7" t="str">
        <f t="array" ref="I437">IF(ISBLANK(F437), "", INDEX(Categories!$B:$B,MATCH(F437,Categories!$A:$A,0)))</f>
        <v/>
      </c>
      <c r="J437" s="4"/>
      <c r="K437" s="4"/>
      <c r="L437" s="4"/>
      <c r="M437" s="4"/>
      <c r="N437" s="4"/>
      <c r="O437" s="4"/>
      <c r="P437" s="4"/>
      <c r="Q437" s="4"/>
    </row>
    <row r="438">
      <c r="A438" s="5">
        <v>437.0</v>
      </c>
      <c r="B438" s="5" t="s">
        <v>638</v>
      </c>
      <c r="C438" s="5" t="s">
        <v>300</v>
      </c>
      <c r="D438" s="6">
        <f>IFERROR(__xludf.DUMMYFUNCTION("SPLIT(MID(C438,2,LEN(C438)-2), "","")"),1105.0)</f>
        <v>1105</v>
      </c>
      <c r="E438" s="7"/>
      <c r="F438" s="7"/>
      <c r="G438" s="2" t="str">
        <f t="array" ref="G438">IF(ISBLANK(D438), "", INDEX(Categories!$B:$B,MATCH(D438,Categories!$A:$A,0)))</f>
        <v>Travel &amp; Tourism</v>
      </c>
      <c r="H438" s="7" t="str">
        <f t="array" ref="H438">IF(ISBLANK(E438), "", INDEX(Categories!$B:$B,MATCH(E438,Categories!$A:$A,0)))</f>
        <v/>
      </c>
      <c r="I438" s="7" t="str">
        <f t="array" ref="I438">IF(ISBLANK(F438), "", INDEX(Categories!$B:$B,MATCH(F438,Categories!$A:$A,0)))</f>
        <v/>
      </c>
      <c r="J438" s="4"/>
      <c r="K438" s="4"/>
      <c r="L438" s="4"/>
      <c r="M438" s="4"/>
      <c r="N438" s="4"/>
      <c r="O438" s="4"/>
      <c r="P438" s="4"/>
      <c r="Q438" s="4"/>
    </row>
    <row r="439">
      <c r="A439" s="5">
        <v>438.0</v>
      </c>
      <c r="B439" s="5" t="s">
        <v>639</v>
      </c>
      <c r="C439" s="5" t="s">
        <v>303</v>
      </c>
      <c r="D439" s="6">
        <f>IFERROR(__xludf.DUMMYFUNCTION("SPLIT(MID(C439,2,LEN(C439)-2), "","")"),1241.0)</f>
        <v>1241</v>
      </c>
      <c r="E439" s="7"/>
      <c r="F439" s="7"/>
      <c r="G439" s="2" t="str">
        <f t="array" ref="G439">IF(ISBLANK(D439), "", INDEX(Categories!$B:$B,MATCH(D439,Categories!$A:$A,0)))</f>
        <v>Clothing &amp; Accessories</v>
      </c>
      <c r="H439" s="7" t="str">
        <f t="array" ref="H439">IF(ISBLANK(E439), "", INDEX(Categories!$B:$B,MATCH(E439,Categories!$A:$A,0)))</f>
        <v/>
      </c>
      <c r="I439" s="7" t="str">
        <f t="array" ref="I439">IF(ISBLANK(F439), "", INDEX(Categories!$B:$B,MATCH(F439,Categories!$A:$A,0)))</f>
        <v/>
      </c>
      <c r="J439" s="4"/>
      <c r="K439" s="4"/>
      <c r="L439" s="4"/>
      <c r="M439" s="4"/>
      <c r="N439" s="4"/>
      <c r="O439" s="4"/>
      <c r="P439" s="4"/>
      <c r="Q439" s="4"/>
    </row>
    <row r="440">
      <c r="A440" s="5">
        <v>439.0</v>
      </c>
      <c r="B440" s="5" t="s">
        <v>640</v>
      </c>
      <c r="C440" s="5" t="s">
        <v>441</v>
      </c>
      <c r="D440" s="6">
        <f>IFERROR(__xludf.DUMMYFUNCTION("SPLIT(MID(C440,2,LEN(C440)-2), "","")"),1289.0)</f>
        <v>1289</v>
      </c>
      <c r="E440" s="7"/>
      <c r="F440" s="7"/>
      <c r="G440" s="2" t="str">
        <f t="array" ref="G440">IF(ISBLANK(D440), "", INDEX(Categories!$B:$B,MATCH(D440,Categories!$A:$A,0)))</f>
        <v>Medical Equipment &amp; Supplies</v>
      </c>
      <c r="H440" s="7" t="str">
        <f t="array" ref="H440">IF(ISBLANK(E440), "", INDEX(Categories!$B:$B,MATCH(E440,Categories!$A:$A,0)))</f>
        <v/>
      </c>
      <c r="I440" s="7" t="str">
        <f t="array" ref="I440">IF(ISBLANK(F440), "", INDEX(Categories!$B:$B,MATCH(F440,Categories!$A:$A,0)))</f>
        <v/>
      </c>
      <c r="J440" s="4"/>
      <c r="K440" s="4"/>
      <c r="L440" s="4"/>
      <c r="M440" s="4"/>
      <c r="N440" s="4"/>
      <c r="O440" s="4"/>
      <c r="P440" s="4"/>
      <c r="Q440" s="4"/>
    </row>
    <row r="441">
      <c r="A441" s="5">
        <v>440.0</v>
      </c>
      <c r="B441" s="5" t="s">
        <v>641</v>
      </c>
      <c r="C441" s="5" t="s">
        <v>34</v>
      </c>
      <c r="D441" s="6">
        <f>IFERROR(__xludf.DUMMYFUNCTION("SPLIT(MID(C441,2,LEN(C441)-2), "","")"),228.0)</f>
        <v>228</v>
      </c>
      <c r="E441" s="7"/>
      <c r="F441" s="7"/>
      <c r="G441" s="2" t="str">
        <f t="array" ref="G441">IF(ISBLANK(D441), "", INDEX(Categories!$B:$B,MATCH(D441,Categories!$A:$A,0)))</f>
        <v>Restaurants</v>
      </c>
      <c r="H441" s="7" t="str">
        <f t="array" ref="H441">IF(ISBLANK(E441), "", INDEX(Categories!$B:$B,MATCH(E441,Categories!$A:$A,0)))</f>
        <v/>
      </c>
      <c r="I441" s="7" t="str">
        <f t="array" ref="I441">IF(ISBLANK(F441), "", INDEX(Categories!$B:$B,MATCH(F441,Categories!$A:$A,0)))</f>
        <v/>
      </c>
      <c r="J441" s="4"/>
      <c r="K441" s="4"/>
      <c r="L441" s="4"/>
      <c r="M441" s="4"/>
      <c r="N441" s="4"/>
      <c r="O441" s="4"/>
      <c r="P441" s="4"/>
      <c r="Q441" s="4"/>
    </row>
    <row r="442">
      <c r="A442" s="5">
        <v>441.0</v>
      </c>
      <c r="B442" s="5" t="s">
        <v>642</v>
      </c>
      <c r="C442" s="5" t="s">
        <v>309</v>
      </c>
      <c r="D442" s="6">
        <f>IFERROR(__xludf.DUMMYFUNCTION("SPLIT(MID(C442,2,LEN(C442)-2), "","")"),458.0)</f>
        <v>458</v>
      </c>
      <c r="E442" s="7"/>
      <c r="F442" s="7"/>
      <c r="G442" s="2" t="str">
        <f t="array" ref="G442">IF(ISBLANK(D442), "", INDEX(Categories!$B:$B,MATCH(D442,Categories!$A:$A,0)))</f>
        <v>Real Estate - Brokers &amp; Agents</v>
      </c>
      <c r="H442" s="7" t="str">
        <f t="array" ref="H442">IF(ISBLANK(E442), "", INDEX(Categories!$B:$B,MATCH(E442,Categories!$A:$A,0)))</f>
        <v/>
      </c>
      <c r="I442" s="7" t="str">
        <f t="array" ref="I442">IF(ISBLANK(F442), "", INDEX(Categories!$B:$B,MATCH(F442,Categories!$A:$A,0)))</f>
        <v/>
      </c>
      <c r="J442" s="4"/>
      <c r="K442" s="4"/>
      <c r="L442" s="4"/>
      <c r="M442" s="4"/>
      <c r="N442" s="4"/>
      <c r="O442" s="4"/>
      <c r="P442" s="4"/>
      <c r="Q442" s="4"/>
    </row>
    <row r="443">
      <c r="A443" s="5">
        <v>442.0</v>
      </c>
      <c r="B443" s="5" t="s">
        <v>643</v>
      </c>
      <c r="C443" s="5" t="s">
        <v>644</v>
      </c>
      <c r="D443" s="6">
        <f>IFERROR(__xludf.DUMMYFUNCTION("SPLIT(MID(C443,2,LEN(C443)-2), "","")"),975.0)</f>
        <v>975</v>
      </c>
      <c r="E443" s="7"/>
      <c r="F443" s="7"/>
      <c r="G443" s="2" t="str">
        <f t="array" ref="G443">IF(ISBLANK(D443), "", INDEX(Categories!$B:$B,MATCH(D443,Categories!$A:$A,0)))</f>
        <v>Communication Services</v>
      </c>
      <c r="H443" s="7" t="str">
        <f t="array" ref="H443">IF(ISBLANK(E443), "", INDEX(Categories!$B:$B,MATCH(E443,Categories!$A:$A,0)))</f>
        <v/>
      </c>
      <c r="I443" s="7" t="str">
        <f t="array" ref="I443">IF(ISBLANK(F443), "", INDEX(Categories!$B:$B,MATCH(F443,Categories!$A:$A,0)))</f>
        <v/>
      </c>
      <c r="J443" s="4"/>
      <c r="K443" s="4"/>
      <c r="L443" s="4"/>
      <c r="M443" s="4"/>
      <c r="N443" s="4"/>
      <c r="O443" s="4"/>
      <c r="P443" s="4"/>
      <c r="Q443" s="4"/>
    </row>
    <row r="444">
      <c r="A444" s="5">
        <v>443.0</v>
      </c>
      <c r="B444" s="5" t="s">
        <v>645</v>
      </c>
      <c r="C444" s="5" t="s">
        <v>646</v>
      </c>
      <c r="D444" s="6">
        <f>IFERROR(__xludf.DUMMYFUNCTION("SPLIT(MID(C444,2,LEN(C444)-2), "","")"),2762.0)</f>
        <v>2762</v>
      </c>
      <c r="E444" s="7"/>
      <c r="F444" s="7"/>
      <c r="G444" s="2" t="str">
        <f t="array" ref="G444">IF(ISBLANK(D444), "", INDEX(Categories!$B:$B,MATCH(D444,Categories!$A:$A,0)))</f>
        <v>Executive Search Consultants</v>
      </c>
      <c r="H444" s="7" t="str">
        <f t="array" ref="H444">IF(ISBLANK(E444), "", INDEX(Categories!$B:$B,MATCH(E444,Categories!$A:$A,0)))</f>
        <v/>
      </c>
      <c r="I444" s="7" t="str">
        <f t="array" ref="I444">IF(ISBLANK(F444), "", INDEX(Categories!$B:$B,MATCH(F444,Categories!$A:$A,0)))</f>
        <v/>
      </c>
      <c r="J444" s="4"/>
      <c r="K444" s="4"/>
      <c r="L444" s="4"/>
      <c r="M444" s="4"/>
      <c r="N444" s="4"/>
      <c r="O444" s="4"/>
      <c r="P444" s="4"/>
      <c r="Q444" s="4"/>
    </row>
    <row r="445">
      <c r="A445" s="5">
        <v>444.0</v>
      </c>
      <c r="B445" s="5" t="s">
        <v>647</v>
      </c>
      <c r="C445" s="5" t="s">
        <v>286</v>
      </c>
      <c r="D445" s="6">
        <f>IFERROR(__xludf.DUMMYFUNCTION("SPLIT(MID(C445,2,LEN(C445)-2), "","")"),2487.0)</f>
        <v>2487</v>
      </c>
      <c r="E445" s="7"/>
      <c r="F445" s="7"/>
      <c r="G445" s="2" t="str">
        <f t="array" ref="G445">IF(ISBLANK(D445), "", INDEX(Categories!$B:$B,MATCH(D445,Categories!$A:$A,0)))</f>
        <v>Fund Raising Counselors &amp; Organizations</v>
      </c>
      <c r="H445" s="7" t="str">
        <f t="array" ref="H445">IF(ISBLANK(E445), "", INDEX(Categories!$B:$B,MATCH(E445,Categories!$A:$A,0)))</f>
        <v/>
      </c>
      <c r="I445" s="7" t="str">
        <f t="array" ref="I445">IF(ISBLANK(F445), "", INDEX(Categories!$B:$B,MATCH(F445,Categories!$A:$A,0)))</f>
        <v/>
      </c>
      <c r="J445" s="4"/>
      <c r="K445" s="4"/>
      <c r="L445" s="4"/>
      <c r="M445" s="4"/>
      <c r="N445" s="4"/>
      <c r="O445" s="4"/>
      <c r="P445" s="4"/>
      <c r="Q445" s="4"/>
    </row>
    <row r="446">
      <c r="A446" s="5">
        <v>445.0</v>
      </c>
      <c r="B446" s="5" t="s">
        <v>648</v>
      </c>
      <c r="C446" s="5" t="s">
        <v>18</v>
      </c>
      <c r="D446" s="6">
        <f>IFERROR(__xludf.DUMMYFUNCTION("SPLIT(MID(C446,2,LEN(C446)-2), "","")"),121.0)</f>
        <v>121</v>
      </c>
      <c r="E446" s="7"/>
      <c r="F446" s="7"/>
      <c r="G446" s="2" t="str">
        <f t="array" ref="G446">IF(ISBLANK(D446), "", INDEX(Categories!$B:$B,MATCH(D446,Categories!$A:$A,0)))</f>
        <v>Insurance</v>
      </c>
      <c r="H446" s="7" t="str">
        <f t="array" ref="H446">IF(ISBLANK(E446), "", INDEX(Categories!$B:$B,MATCH(E446,Categories!$A:$A,0)))</f>
        <v/>
      </c>
      <c r="I446" s="7" t="str">
        <f t="array" ref="I446">IF(ISBLANK(F446), "", INDEX(Categories!$B:$B,MATCH(F446,Categories!$A:$A,0)))</f>
        <v/>
      </c>
      <c r="J446" s="4"/>
      <c r="K446" s="4"/>
      <c r="L446" s="4"/>
      <c r="M446" s="4"/>
      <c r="N446" s="4"/>
      <c r="O446" s="4"/>
      <c r="P446" s="4"/>
      <c r="Q446" s="4"/>
    </row>
    <row r="447">
      <c r="A447" s="5">
        <v>446.0</v>
      </c>
      <c r="B447" s="5" t="s">
        <v>649</v>
      </c>
      <c r="C447" s="5" t="s">
        <v>111</v>
      </c>
      <c r="D447" s="6">
        <f>IFERROR(__xludf.DUMMYFUNCTION("SPLIT(MID(C447,2,LEN(C447)-2), "","")"),444.0)</f>
        <v>444</v>
      </c>
      <c r="E447" s="7"/>
      <c r="F447" s="7"/>
      <c r="G447" s="2" t="str">
        <f t="array" ref="G447">IF(ISBLANK(D447), "", INDEX(Categories!$B:$B,MATCH(D447,Categories!$A:$A,0)))</f>
        <v>Hair Salons &amp; Barbers</v>
      </c>
      <c r="H447" s="7" t="str">
        <f t="array" ref="H447">IF(ISBLANK(E447), "", INDEX(Categories!$B:$B,MATCH(E447,Categories!$A:$A,0)))</f>
        <v/>
      </c>
      <c r="I447" s="7" t="str">
        <f t="array" ref="I447">IF(ISBLANK(F447), "", INDEX(Categories!$B:$B,MATCH(F447,Categories!$A:$A,0)))</f>
        <v/>
      </c>
      <c r="J447" s="4"/>
      <c r="K447" s="4"/>
      <c r="L447" s="4"/>
      <c r="M447" s="4"/>
      <c r="N447" s="4"/>
      <c r="O447" s="4"/>
      <c r="P447" s="4"/>
      <c r="Q447" s="4"/>
    </row>
    <row r="448">
      <c r="A448" s="5">
        <v>447.0</v>
      </c>
      <c r="B448" s="5" t="s">
        <v>650</v>
      </c>
      <c r="C448" s="5" t="s">
        <v>188</v>
      </c>
      <c r="D448" s="6">
        <f>IFERROR(__xludf.DUMMYFUNCTION("SPLIT(MID(C448,2,LEN(C448)-2), "","")"),534.0)</f>
        <v>534</v>
      </c>
      <c r="E448" s="7"/>
      <c r="F448" s="7"/>
      <c r="G448" s="2" t="str">
        <f t="array" ref="G448">IF(ISBLANK(D448), "", INDEX(Categories!$B:$B,MATCH(D448,Categories!$A:$A,0)))</f>
        <v>Moving Services</v>
      </c>
      <c r="H448" s="7" t="str">
        <f t="array" ref="H448">IF(ISBLANK(E448), "", INDEX(Categories!$B:$B,MATCH(E448,Categories!$A:$A,0)))</f>
        <v/>
      </c>
      <c r="I448" s="7" t="str">
        <f t="array" ref="I448">IF(ISBLANK(F448), "", INDEX(Categories!$B:$B,MATCH(F448,Categories!$A:$A,0)))</f>
        <v/>
      </c>
      <c r="J448" s="4"/>
      <c r="K448" s="4"/>
      <c r="L448" s="4"/>
      <c r="M448" s="4"/>
      <c r="N448" s="4"/>
      <c r="O448" s="4"/>
      <c r="P448" s="4"/>
      <c r="Q448" s="4"/>
    </row>
    <row r="449">
      <c r="A449" s="5">
        <v>448.0</v>
      </c>
      <c r="B449" s="5" t="s">
        <v>651</v>
      </c>
      <c r="C449" s="5" t="s">
        <v>34</v>
      </c>
      <c r="D449" s="6">
        <f>IFERROR(__xludf.DUMMYFUNCTION("SPLIT(MID(C449,2,LEN(C449)-2), "","")"),228.0)</f>
        <v>228</v>
      </c>
      <c r="E449" s="7"/>
      <c r="F449" s="7"/>
      <c r="G449" s="2" t="str">
        <f t="array" ref="G449">IF(ISBLANK(D449), "", INDEX(Categories!$B:$B,MATCH(D449,Categories!$A:$A,0)))</f>
        <v>Restaurants</v>
      </c>
      <c r="H449" s="7" t="str">
        <f t="array" ref="H449">IF(ISBLANK(E449), "", INDEX(Categories!$B:$B,MATCH(E449,Categories!$A:$A,0)))</f>
        <v/>
      </c>
      <c r="I449" s="7" t="str">
        <f t="array" ref="I449">IF(ISBLANK(F449), "", INDEX(Categories!$B:$B,MATCH(F449,Categories!$A:$A,0)))</f>
        <v/>
      </c>
      <c r="J449" s="4"/>
      <c r="K449" s="4"/>
      <c r="L449" s="4"/>
      <c r="M449" s="4"/>
      <c r="N449" s="4"/>
      <c r="O449" s="4"/>
      <c r="P449" s="4"/>
      <c r="Q449" s="4"/>
    </row>
    <row r="450">
      <c r="A450" s="5">
        <v>449.0</v>
      </c>
      <c r="B450" s="5" t="s">
        <v>652</v>
      </c>
      <c r="C450" s="5" t="s">
        <v>121</v>
      </c>
      <c r="D450" s="6">
        <f>IFERROR(__xludf.DUMMYFUNCTION("SPLIT(MID(C450,2,LEN(C450)-2), "","")"),1261.0)</f>
        <v>1261</v>
      </c>
      <c r="E450" s="7"/>
      <c r="F450" s="7"/>
      <c r="G450" s="2" t="str">
        <f t="array" ref="G450">IF(ISBLANK(D450), "", INDEX(Categories!$B:$B,MATCH(D450,Categories!$A:$A,0)))</f>
        <v>Mens Clothing &amp; Furnishings</v>
      </c>
      <c r="H450" s="7" t="str">
        <f t="array" ref="H450">IF(ISBLANK(E450), "", INDEX(Categories!$B:$B,MATCH(E450,Categories!$A:$A,0)))</f>
        <v/>
      </c>
      <c r="I450" s="7" t="str">
        <f t="array" ref="I450">IF(ISBLANK(F450), "", INDEX(Categories!$B:$B,MATCH(F450,Categories!$A:$A,0)))</f>
        <v/>
      </c>
      <c r="J450" s="4"/>
      <c r="K450" s="4"/>
      <c r="L450" s="4"/>
      <c r="M450" s="4"/>
      <c r="N450" s="4"/>
      <c r="O450" s="4"/>
      <c r="P450" s="4"/>
      <c r="Q450" s="4"/>
    </row>
    <row r="451">
      <c r="A451" s="5">
        <v>450.0</v>
      </c>
      <c r="B451" s="5" t="s">
        <v>653</v>
      </c>
      <c r="C451" s="5" t="s">
        <v>18</v>
      </c>
      <c r="D451" s="6">
        <f>IFERROR(__xludf.DUMMYFUNCTION("SPLIT(MID(C451,2,LEN(C451)-2), "","")"),121.0)</f>
        <v>121</v>
      </c>
      <c r="E451" s="7"/>
      <c r="F451" s="7"/>
      <c r="G451" s="2" t="str">
        <f t="array" ref="G451">IF(ISBLANK(D451), "", INDEX(Categories!$B:$B,MATCH(D451,Categories!$A:$A,0)))</f>
        <v>Insurance</v>
      </c>
      <c r="H451" s="7" t="str">
        <f t="array" ref="H451">IF(ISBLANK(E451), "", INDEX(Categories!$B:$B,MATCH(E451,Categories!$A:$A,0)))</f>
        <v/>
      </c>
      <c r="I451" s="7" t="str">
        <f t="array" ref="I451">IF(ISBLANK(F451), "", INDEX(Categories!$B:$B,MATCH(F451,Categories!$A:$A,0)))</f>
        <v/>
      </c>
      <c r="J451" s="4"/>
      <c r="K451" s="4"/>
      <c r="L451" s="4"/>
      <c r="M451" s="4"/>
      <c r="N451" s="4"/>
      <c r="O451" s="4"/>
      <c r="P451" s="4"/>
      <c r="Q451" s="4"/>
    </row>
    <row r="452">
      <c r="A452" s="5">
        <v>451.0</v>
      </c>
      <c r="B452" s="5" t="s">
        <v>654</v>
      </c>
      <c r="C452" s="5" t="s">
        <v>147</v>
      </c>
      <c r="D452" s="6">
        <f>IFERROR(__xludf.DUMMYFUNCTION("SPLIT(MID(C452,2,LEN(C452)-2), "","")"),867.0)</f>
        <v>867</v>
      </c>
      <c r="E452" s="7"/>
      <c r="F452" s="7"/>
      <c r="G452" s="2" t="str">
        <f t="array" ref="G452">IF(ISBLANK(D452), "", INDEX(Categories!$B:$B,MATCH(D452,Categories!$A:$A,0)))</f>
        <v>Arts &amp; Crafts Supplies</v>
      </c>
      <c r="H452" s="7" t="str">
        <f t="array" ref="H452">IF(ISBLANK(E452), "", INDEX(Categories!$B:$B,MATCH(E452,Categories!$A:$A,0)))</f>
        <v/>
      </c>
      <c r="I452" s="7" t="str">
        <f t="array" ref="I452">IF(ISBLANK(F452), "", INDEX(Categories!$B:$B,MATCH(F452,Categories!$A:$A,0)))</f>
        <v/>
      </c>
      <c r="J452" s="4"/>
      <c r="K452" s="4"/>
      <c r="L452" s="4"/>
      <c r="M452" s="4"/>
      <c r="N452" s="4"/>
      <c r="O452" s="4"/>
      <c r="P452" s="4"/>
      <c r="Q452" s="4"/>
    </row>
    <row r="453">
      <c r="A453" s="5">
        <v>452.0</v>
      </c>
      <c r="B453" s="5" t="s">
        <v>655</v>
      </c>
      <c r="C453" s="5" t="s">
        <v>18</v>
      </c>
      <c r="D453" s="6">
        <f>IFERROR(__xludf.DUMMYFUNCTION("SPLIT(MID(C453,2,LEN(C453)-2), "","")"),121.0)</f>
        <v>121</v>
      </c>
      <c r="E453" s="7"/>
      <c r="F453" s="7"/>
      <c r="G453" s="2" t="str">
        <f t="array" ref="G453">IF(ISBLANK(D453), "", INDEX(Categories!$B:$B,MATCH(D453,Categories!$A:$A,0)))</f>
        <v>Insurance</v>
      </c>
      <c r="H453" s="7" t="str">
        <f t="array" ref="H453">IF(ISBLANK(E453), "", INDEX(Categories!$B:$B,MATCH(E453,Categories!$A:$A,0)))</f>
        <v/>
      </c>
      <c r="I453" s="7" t="str">
        <f t="array" ref="I453">IF(ISBLANK(F453), "", INDEX(Categories!$B:$B,MATCH(F453,Categories!$A:$A,0)))</f>
        <v/>
      </c>
      <c r="J453" s="4"/>
      <c r="K453" s="4"/>
      <c r="L453" s="4"/>
      <c r="M453" s="4"/>
      <c r="N453" s="4"/>
      <c r="O453" s="4"/>
      <c r="P453" s="4"/>
      <c r="Q453" s="4"/>
    </row>
    <row r="454">
      <c r="A454" s="5">
        <v>453.0</v>
      </c>
      <c r="B454" s="5" t="s">
        <v>656</v>
      </c>
      <c r="C454" s="5" t="s">
        <v>12</v>
      </c>
      <c r="D454" s="6">
        <f>IFERROR(__xludf.DUMMYFUNCTION("SPLIT(MID(C454,2,LEN(C454)-2), "","")"),469.0)</f>
        <v>469</v>
      </c>
      <c r="E454" s="7"/>
      <c r="F454" s="7"/>
      <c r="G454" s="2" t="str">
        <f t="array" ref="G454">IF(ISBLANK(D454), "", INDEX(Categories!$B:$B,MATCH(D454,Categories!$A:$A,0)))</f>
        <v>Automobile - Repairs &amp; Services</v>
      </c>
      <c r="H454" s="7" t="str">
        <f t="array" ref="H454">IF(ISBLANK(E454), "", INDEX(Categories!$B:$B,MATCH(E454,Categories!$A:$A,0)))</f>
        <v/>
      </c>
      <c r="I454" s="7" t="str">
        <f t="array" ref="I454">IF(ISBLANK(F454), "", INDEX(Categories!$B:$B,MATCH(F454,Categories!$A:$A,0)))</f>
        <v/>
      </c>
      <c r="J454" s="4"/>
      <c r="K454" s="4"/>
      <c r="L454" s="4"/>
      <c r="M454" s="4"/>
      <c r="N454" s="4"/>
      <c r="O454" s="4"/>
      <c r="P454" s="4"/>
      <c r="Q454" s="4"/>
    </row>
    <row r="455">
      <c r="A455" s="5">
        <v>454.0</v>
      </c>
      <c r="B455" s="5" t="s">
        <v>657</v>
      </c>
      <c r="C455" s="5" t="s">
        <v>395</v>
      </c>
      <c r="D455" s="6">
        <f>IFERROR(__xludf.DUMMYFUNCTION("SPLIT(MID(C455,2,LEN(C455)-2), "","")"),277.0)</f>
        <v>277</v>
      </c>
      <c r="E455" s="7"/>
      <c r="F455" s="7"/>
      <c r="G455" s="2" t="str">
        <f t="array" ref="G455">IF(ISBLANK(D455), "", INDEX(Categories!$B:$B,MATCH(D455,Categories!$A:$A,0)))</f>
        <v>Office Supplies</v>
      </c>
      <c r="H455" s="7" t="str">
        <f t="array" ref="H455">IF(ISBLANK(E455), "", INDEX(Categories!$B:$B,MATCH(E455,Categories!$A:$A,0)))</f>
        <v/>
      </c>
      <c r="I455" s="7" t="str">
        <f t="array" ref="I455">IF(ISBLANK(F455), "", INDEX(Categories!$B:$B,MATCH(F455,Categories!$A:$A,0)))</f>
        <v/>
      </c>
      <c r="J455" s="4"/>
      <c r="K455" s="4"/>
      <c r="L455" s="4"/>
      <c r="M455" s="4"/>
      <c r="N455" s="4"/>
      <c r="O455" s="4"/>
      <c r="P455" s="4"/>
      <c r="Q455" s="4"/>
    </row>
    <row r="456">
      <c r="A456" s="5">
        <v>455.0</v>
      </c>
      <c r="B456" s="5" t="s">
        <v>658</v>
      </c>
      <c r="C456" s="5" t="s">
        <v>155</v>
      </c>
      <c r="D456" s="6">
        <f>IFERROR(__xludf.DUMMYFUNCTION("SPLIT(MID(C456,2,LEN(C456)-2), "","")"),2511.0)</f>
        <v>2511</v>
      </c>
      <c r="E456" s="7"/>
      <c r="F456" s="7"/>
      <c r="G456" s="2" t="str">
        <f t="array" ref="G456">IF(ISBLANK(D456), "", INDEX(Categories!$B:$B,MATCH(D456,Categories!$A:$A,0)))</f>
        <v>Fraternal Organizations</v>
      </c>
      <c r="H456" s="7" t="str">
        <f t="array" ref="H456">IF(ISBLANK(E456), "", INDEX(Categories!$B:$B,MATCH(E456,Categories!$A:$A,0)))</f>
        <v/>
      </c>
      <c r="I456" s="7" t="str">
        <f t="array" ref="I456">IF(ISBLANK(F456), "", INDEX(Categories!$B:$B,MATCH(F456,Categories!$A:$A,0)))</f>
        <v/>
      </c>
      <c r="J456" s="4"/>
      <c r="K456" s="4"/>
      <c r="L456" s="4"/>
      <c r="M456" s="4"/>
      <c r="N456" s="4"/>
      <c r="O456" s="4"/>
      <c r="P456" s="4"/>
      <c r="Q456" s="4"/>
    </row>
    <row r="457">
      <c r="A457" s="5">
        <v>456.0</v>
      </c>
      <c r="B457" s="5" t="s">
        <v>659</v>
      </c>
      <c r="C457" s="5" t="s">
        <v>660</v>
      </c>
      <c r="D457" s="6">
        <f>IFERROR(__xludf.DUMMYFUNCTION("SPLIT(MID(C457,2,LEN(C457)-2), "","")"),1260.0)</f>
        <v>1260</v>
      </c>
      <c r="E457" s="7"/>
      <c r="F457" s="7"/>
      <c r="G457" s="2" t="str">
        <f t="array" ref="G457">IF(ISBLANK(D457), "", INDEX(Categories!$B:$B,MATCH(D457,Categories!$A:$A,0)))</f>
        <v>Maternity Clothing Retail</v>
      </c>
      <c r="H457" s="7" t="str">
        <f t="array" ref="H457">IF(ISBLANK(E457), "", INDEX(Categories!$B:$B,MATCH(E457,Categories!$A:$A,0)))</f>
        <v/>
      </c>
      <c r="I457" s="7" t="str">
        <f t="array" ref="I457">IF(ISBLANK(F457), "", INDEX(Categories!$B:$B,MATCH(F457,Categories!$A:$A,0)))</f>
        <v/>
      </c>
      <c r="J457" s="4"/>
      <c r="K457" s="4"/>
      <c r="L457" s="4"/>
      <c r="M457" s="4"/>
      <c r="N457" s="4"/>
      <c r="O457" s="4"/>
      <c r="P457" s="4"/>
      <c r="Q457" s="4"/>
    </row>
    <row r="458">
      <c r="A458" s="5">
        <v>457.0</v>
      </c>
      <c r="B458" s="5" t="s">
        <v>661</v>
      </c>
      <c r="C458" s="5" t="s">
        <v>26</v>
      </c>
      <c r="D458" s="6">
        <f>IFERROR(__xludf.DUMMYFUNCTION("SPLIT(MID(C458,2,LEN(C458)-2), "","")"),2479.0)</f>
        <v>2479</v>
      </c>
      <c r="E458" s="7"/>
      <c r="F458" s="7"/>
      <c r="G458" s="2" t="str">
        <f t="array" ref="G458">IF(ISBLANK(D458), "", INDEX(Categories!$B:$B,MATCH(D458,Categories!$A:$A,0)))</f>
        <v>Organizations &amp; Associations</v>
      </c>
      <c r="H458" s="7" t="str">
        <f t="array" ref="H458">IF(ISBLANK(E458), "", INDEX(Categories!$B:$B,MATCH(E458,Categories!$A:$A,0)))</f>
        <v/>
      </c>
      <c r="I458" s="7" t="str">
        <f t="array" ref="I458">IF(ISBLANK(F458), "", INDEX(Categories!$B:$B,MATCH(F458,Categories!$A:$A,0)))</f>
        <v/>
      </c>
      <c r="J458" s="4"/>
      <c r="K458" s="4"/>
      <c r="L458" s="4"/>
      <c r="M458" s="4"/>
      <c r="N458" s="4"/>
      <c r="O458" s="4"/>
      <c r="P458" s="4"/>
      <c r="Q458" s="4"/>
    </row>
    <row r="459">
      <c r="A459" s="5">
        <v>458.0</v>
      </c>
      <c r="B459" s="5" t="s">
        <v>662</v>
      </c>
      <c r="C459" s="5" t="s">
        <v>451</v>
      </c>
      <c r="D459" s="6">
        <f>IFERROR(__xludf.DUMMYFUNCTION("SPLIT(MID(C459,2,LEN(C459)-2), "","")"),2192.0)</f>
        <v>2192</v>
      </c>
      <c r="E459" s="7"/>
      <c r="F459" s="7"/>
      <c r="G459" s="2" t="str">
        <f t="array" ref="G459">IF(ISBLANK(D459), "", INDEX(Categories!$B:$B,MATCH(D459,Categories!$A:$A,0)))</f>
        <v>Industrial Equipment &amp; Supplies</v>
      </c>
      <c r="H459" s="7" t="str">
        <f t="array" ref="H459">IF(ISBLANK(E459), "", INDEX(Categories!$B:$B,MATCH(E459,Categories!$A:$A,0)))</f>
        <v/>
      </c>
      <c r="I459" s="7" t="str">
        <f t="array" ref="I459">IF(ISBLANK(F459), "", INDEX(Categories!$B:$B,MATCH(F459,Categories!$A:$A,0)))</f>
        <v/>
      </c>
      <c r="J459" s="4"/>
      <c r="K459" s="4"/>
      <c r="L459" s="4"/>
      <c r="M459" s="4"/>
      <c r="N459" s="4"/>
      <c r="O459" s="4"/>
      <c r="P459" s="4"/>
      <c r="Q459" s="4"/>
    </row>
    <row r="460">
      <c r="A460" s="5">
        <v>459.0</v>
      </c>
      <c r="B460" s="5" t="s">
        <v>663</v>
      </c>
      <c r="C460" s="5" t="s">
        <v>217</v>
      </c>
      <c r="D460" s="6">
        <f>IFERROR(__xludf.DUMMYFUNCTION("SPLIT(MID(C460,2,LEN(C460)-2), "","")"),147.0)</f>
        <v>147</v>
      </c>
      <c r="E460" s="7"/>
      <c r="F460" s="7"/>
      <c r="G460" s="2" t="str">
        <f t="array" ref="G460">IF(ISBLANK(D460), "", INDEX(Categories!$B:$B,MATCH(D460,Categories!$A:$A,0)))</f>
        <v>Contractors - Plumbers &amp; Plumbing</v>
      </c>
      <c r="H460" s="7" t="str">
        <f t="array" ref="H460">IF(ISBLANK(E460), "", INDEX(Categories!$B:$B,MATCH(E460,Categories!$A:$A,0)))</f>
        <v/>
      </c>
      <c r="I460" s="7" t="str">
        <f t="array" ref="I460">IF(ISBLANK(F460), "", INDEX(Categories!$B:$B,MATCH(F460,Categories!$A:$A,0)))</f>
        <v/>
      </c>
      <c r="J460" s="4"/>
      <c r="K460" s="4"/>
      <c r="L460" s="4"/>
      <c r="M460" s="4"/>
      <c r="N460" s="4"/>
      <c r="O460" s="4"/>
      <c r="P460" s="4"/>
      <c r="Q460" s="4"/>
    </row>
    <row r="461">
      <c r="A461" s="5">
        <v>460.0</v>
      </c>
      <c r="B461" s="5" t="s">
        <v>664</v>
      </c>
      <c r="C461" s="5" t="s">
        <v>665</v>
      </c>
      <c r="D461" s="6">
        <f>IFERROR(__xludf.DUMMYFUNCTION("SPLIT(MID(C461,2,LEN(C461)-2), "","")"),582.0)</f>
        <v>582</v>
      </c>
      <c r="E461" s="7"/>
      <c r="F461" s="7"/>
      <c r="G461" s="2" t="str">
        <f t="array" ref="G461">IF(ISBLANK(D461), "", INDEX(Categories!$B:$B,MATCH(D461,Categories!$A:$A,0)))</f>
        <v>Cookies &amp; Crackers</v>
      </c>
      <c r="H461" s="7" t="str">
        <f t="array" ref="H461">IF(ISBLANK(E461), "", INDEX(Categories!$B:$B,MATCH(E461,Categories!$A:$A,0)))</f>
        <v/>
      </c>
      <c r="I461" s="7" t="str">
        <f t="array" ref="I461">IF(ISBLANK(F461), "", INDEX(Categories!$B:$B,MATCH(F461,Categories!$A:$A,0)))</f>
        <v/>
      </c>
      <c r="J461" s="4"/>
      <c r="K461" s="4"/>
      <c r="L461" s="4"/>
      <c r="M461" s="4"/>
      <c r="N461" s="4"/>
      <c r="O461" s="4"/>
      <c r="P461" s="4"/>
      <c r="Q461" s="4"/>
    </row>
    <row r="462">
      <c r="A462" s="5">
        <v>461.0</v>
      </c>
      <c r="B462" s="5" t="s">
        <v>666</v>
      </c>
      <c r="C462" s="5" t="s">
        <v>667</v>
      </c>
      <c r="D462" s="6">
        <f>IFERROR(__xludf.DUMMYFUNCTION("SPLIT(MID(C462,2,LEN(C462)-2), "","")"),2481.0)</f>
        <v>2481</v>
      </c>
      <c r="E462" s="7"/>
      <c r="F462" s="7"/>
      <c r="G462" s="2" t="str">
        <f t="array" ref="G462">IF(ISBLANK(D462), "", INDEX(Categories!$B:$B,MATCH(D462,Categories!$A:$A,0)))</f>
        <v>Associations</v>
      </c>
      <c r="H462" s="7" t="str">
        <f t="array" ref="H462">IF(ISBLANK(E462), "", INDEX(Categories!$B:$B,MATCH(E462,Categories!$A:$A,0)))</f>
        <v/>
      </c>
      <c r="I462" s="7" t="str">
        <f t="array" ref="I462">IF(ISBLANK(F462), "", INDEX(Categories!$B:$B,MATCH(F462,Categories!$A:$A,0)))</f>
        <v/>
      </c>
      <c r="J462" s="4"/>
      <c r="K462" s="4"/>
      <c r="L462" s="4"/>
      <c r="M462" s="4"/>
      <c r="N462" s="4"/>
      <c r="O462" s="4"/>
      <c r="P462" s="4"/>
      <c r="Q462" s="4"/>
    </row>
    <row r="463">
      <c r="A463" s="5">
        <v>462.0</v>
      </c>
      <c r="B463" s="5" t="s">
        <v>668</v>
      </c>
      <c r="C463" s="5" t="s">
        <v>18</v>
      </c>
      <c r="D463" s="6">
        <f>IFERROR(__xludf.DUMMYFUNCTION("SPLIT(MID(C463,2,LEN(C463)-2), "","")"),121.0)</f>
        <v>121</v>
      </c>
      <c r="E463" s="7"/>
      <c r="F463" s="7"/>
      <c r="G463" s="2" t="str">
        <f t="array" ref="G463">IF(ISBLANK(D463), "", INDEX(Categories!$B:$B,MATCH(D463,Categories!$A:$A,0)))</f>
        <v>Insurance</v>
      </c>
      <c r="H463" s="7" t="str">
        <f t="array" ref="H463">IF(ISBLANK(E463), "", INDEX(Categories!$B:$B,MATCH(E463,Categories!$A:$A,0)))</f>
        <v/>
      </c>
      <c r="I463" s="7" t="str">
        <f t="array" ref="I463">IF(ISBLANK(F463), "", INDEX(Categories!$B:$B,MATCH(F463,Categories!$A:$A,0)))</f>
        <v/>
      </c>
      <c r="J463" s="4"/>
      <c r="K463" s="4"/>
      <c r="L463" s="4"/>
      <c r="M463" s="4"/>
      <c r="N463" s="4"/>
      <c r="O463" s="4"/>
      <c r="P463" s="4"/>
      <c r="Q463" s="4"/>
    </row>
    <row r="464">
      <c r="A464" s="5">
        <v>463.0</v>
      </c>
      <c r="B464" s="5" t="s">
        <v>669</v>
      </c>
      <c r="C464" s="5" t="s">
        <v>20</v>
      </c>
      <c r="D464" s="6">
        <f>IFERROR(__xludf.DUMMYFUNCTION("SPLIT(MID(C464,2,LEN(C464)-2), "","")"),1213.0)</f>
        <v>1213</v>
      </c>
      <c r="E464" s="7"/>
      <c r="F464" s="7"/>
      <c r="G464" s="2" t="str">
        <f t="array" ref="G464">IF(ISBLANK(D464), "", INDEX(Categories!$B:$B,MATCH(D464,Categories!$A:$A,0)))</f>
        <v>Social Service Organizations</v>
      </c>
      <c r="H464" s="7" t="str">
        <f t="array" ref="H464">IF(ISBLANK(E464), "", INDEX(Categories!$B:$B,MATCH(E464,Categories!$A:$A,0)))</f>
        <v/>
      </c>
      <c r="I464" s="7" t="str">
        <f t="array" ref="I464">IF(ISBLANK(F464), "", INDEX(Categories!$B:$B,MATCH(F464,Categories!$A:$A,0)))</f>
        <v/>
      </c>
      <c r="J464" s="4"/>
      <c r="K464" s="4"/>
      <c r="L464" s="4"/>
      <c r="M464" s="4"/>
      <c r="N464" s="4"/>
      <c r="O464" s="4"/>
      <c r="P464" s="4"/>
      <c r="Q464" s="4"/>
    </row>
    <row r="465">
      <c r="A465" s="5">
        <v>464.0</v>
      </c>
      <c r="B465" s="5" t="s">
        <v>670</v>
      </c>
      <c r="C465" s="5" t="s">
        <v>501</v>
      </c>
      <c r="D465" s="6">
        <f>IFERROR(__xludf.DUMMYFUNCTION("SPLIT(MID(C465,2,LEN(C465)-2), "","")"),896.0)</f>
        <v>896</v>
      </c>
      <c r="E465" s="7"/>
      <c r="F465" s="7"/>
      <c r="G465" s="2" t="str">
        <f t="array" ref="G465">IF(ISBLANK(D465), "", INDEX(Categories!$B:$B,MATCH(D465,Categories!$A:$A,0)))</f>
        <v>Check Cashing Service</v>
      </c>
      <c r="H465" s="7" t="str">
        <f t="array" ref="H465">IF(ISBLANK(E465), "", INDEX(Categories!$B:$B,MATCH(E465,Categories!$A:$A,0)))</f>
        <v/>
      </c>
      <c r="I465" s="7" t="str">
        <f t="array" ref="I465">IF(ISBLANK(F465), "", INDEX(Categories!$B:$B,MATCH(F465,Categories!$A:$A,0)))</f>
        <v/>
      </c>
      <c r="J465" s="4"/>
      <c r="K465" s="4"/>
      <c r="L465" s="4"/>
      <c r="M465" s="4"/>
      <c r="N465" s="4"/>
      <c r="O465" s="4"/>
      <c r="P465" s="4"/>
      <c r="Q465" s="4"/>
    </row>
    <row r="466">
      <c r="A466" s="5">
        <v>465.0</v>
      </c>
      <c r="B466" s="5" t="s">
        <v>671</v>
      </c>
      <c r="C466" s="5" t="s">
        <v>207</v>
      </c>
      <c r="D466" s="6">
        <f>IFERROR(__xludf.DUMMYFUNCTION("SPLIT(MID(C466,2,LEN(C466)-2), "","")"),1920.0)</f>
        <v>1920</v>
      </c>
      <c r="E466" s="7"/>
      <c r="F466" s="7"/>
      <c r="G466" s="2" t="str">
        <f t="array" ref="G466">IF(ISBLANK(D466), "", INDEX(Categories!$B:$B,MATCH(D466,Categories!$A:$A,0)))</f>
        <v>Medical Laboratories</v>
      </c>
      <c r="H466" s="7" t="str">
        <f t="array" ref="H466">IF(ISBLANK(E466), "", INDEX(Categories!$B:$B,MATCH(E466,Categories!$A:$A,0)))</f>
        <v/>
      </c>
      <c r="I466" s="7" t="str">
        <f t="array" ref="I466">IF(ISBLANK(F466), "", INDEX(Categories!$B:$B,MATCH(F466,Categories!$A:$A,0)))</f>
        <v/>
      </c>
      <c r="J466" s="4"/>
      <c r="K466" s="4"/>
      <c r="L466" s="4"/>
      <c r="M466" s="4"/>
      <c r="N466" s="4"/>
      <c r="O466" s="4"/>
      <c r="P466" s="4"/>
      <c r="Q466" s="4"/>
    </row>
    <row r="467">
      <c r="A467" s="5">
        <v>466.0</v>
      </c>
      <c r="B467" s="5" t="s">
        <v>672</v>
      </c>
      <c r="C467" s="5" t="s">
        <v>109</v>
      </c>
      <c r="D467" s="6">
        <f>IFERROR(__xludf.DUMMYFUNCTION("SPLIT(MID(C467,2,LEN(C467)-2), "","")"),741.0)</f>
        <v>741</v>
      </c>
      <c r="E467" s="7"/>
      <c r="F467" s="7"/>
      <c r="G467" s="2" t="str">
        <f t="array" ref="G467">IF(ISBLANK(D467), "", INDEX(Categories!$B:$B,MATCH(D467,Categories!$A:$A,0)))</f>
        <v>Shoes</v>
      </c>
      <c r="H467" s="7" t="str">
        <f t="array" ref="H467">IF(ISBLANK(E467), "", INDEX(Categories!$B:$B,MATCH(E467,Categories!$A:$A,0)))</f>
        <v/>
      </c>
      <c r="I467" s="7" t="str">
        <f t="array" ref="I467">IF(ISBLANK(F467), "", INDEX(Categories!$B:$B,MATCH(F467,Categories!$A:$A,0)))</f>
        <v/>
      </c>
      <c r="J467" s="4"/>
      <c r="K467" s="4"/>
      <c r="L467" s="4"/>
      <c r="M467" s="4"/>
      <c r="N467" s="4"/>
      <c r="O467" s="4"/>
      <c r="P467" s="4"/>
      <c r="Q467" s="4"/>
    </row>
    <row r="468">
      <c r="A468" s="5">
        <v>467.0</v>
      </c>
      <c r="B468" s="5" t="s">
        <v>673</v>
      </c>
      <c r="C468" s="5" t="s">
        <v>65</v>
      </c>
      <c r="D468" s="6">
        <f>IFERROR(__xludf.DUMMYFUNCTION("SPLIT(MID(C468,2,LEN(C468)-2), "","")"),983.0)</f>
        <v>983</v>
      </c>
      <c r="E468" s="7"/>
      <c r="F468" s="7"/>
      <c r="G468" s="2" t="str">
        <f t="array" ref="G468">IF(ISBLANK(D468), "", INDEX(Categories!$B:$B,MATCH(D468,Categories!$A:$A,0)))</f>
        <v>Mobile Telephone Service</v>
      </c>
      <c r="H468" s="7" t="str">
        <f t="array" ref="H468">IF(ISBLANK(E468), "", INDEX(Categories!$B:$B,MATCH(E468,Categories!$A:$A,0)))</f>
        <v/>
      </c>
      <c r="I468" s="7" t="str">
        <f t="array" ref="I468">IF(ISBLANK(F468), "", INDEX(Categories!$B:$B,MATCH(F468,Categories!$A:$A,0)))</f>
        <v/>
      </c>
      <c r="J468" s="4"/>
      <c r="K468" s="4"/>
      <c r="L468" s="4"/>
      <c r="M468" s="4"/>
      <c r="N468" s="4"/>
      <c r="O468" s="4"/>
      <c r="P468" s="4"/>
      <c r="Q468" s="4"/>
    </row>
    <row r="469">
      <c r="A469" s="5">
        <v>468.0</v>
      </c>
      <c r="B469" s="5" t="s">
        <v>674</v>
      </c>
      <c r="C469" s="5" t="s">
        <v>115</v>
      </c>
      <c r="D469" s="6">
        <f>IFERROR(__xludf.DUMMYFUNCTION("SPLIT(MID(C469,2,LEN(C469)-2), "","")"),1272.0)</f>
        <v>1272</v>
      </c>
      <c r="E469" s="7"/>
      <c r="F469" s="7"/>
      <c r="G469" s="2" t="str">
        <f t="array" ref="G469">IF(ISBLANK(D469), "", INDEX(Categories!$B:$B,MATCH(D469,Categories!$A:$A,0)))</f>
        <v>Womens Apparel</v>
      </c>
      <c r="H469" s="7" t="str">
        <f t="array" ref="H469">IF(ISBLANK(E469), "", INDEX(Categories!$B:$B,MATCH(E469,Categories!$A:$A,0)))</f>
        <v/>
      </c>
      <c r="I469" s="7" t="str">
        <f t="array" ref="I469">IF(ISBLANK(F469), "", INDEX(Categories!$B:$B,MATCH(F469,Categories!$A:$A,0)))</f>
        <v/>
      </c>
      <c r="J469" s="4"/>
      <c r="K469" s="4"/>
      <c r="L469" s="4"/>
      <c r="M469" s="4"/>
      <c r="N469" s="4"/>
      <c r="O469" s="4"/>
      <c r="P469" s="4"/>
      <c r="Q469" s="4"/>
    </row>
    <row r="470">
      <c r="A470" s="5">
        <v>469.0</v>
      </c>
      <c r="B470" s="5" t="s">
        <v>675</v>
      </c>
      <c r="C470" s="5" t="s">
        <v>221</v>
      </c>
      <c r="D470" s="6">
        <f>IFERROR(__xludf.DUMMYFUNCTION("SPLIT(MID(C470,2,LEN(C470)-2), "","")"),483.0)</f>
        <v>483</v>
      </c>
      <c r="E470" s="7"/>
      <c r="F470" s="7"/>
      <c r="G470" s="2" t="str">
        <f t="array" ref="G470">IF(ISBLANK(D470), "", INDEX(Categories!$B:$B,MATCH(D470,Categories!$A:$A,0)))</f>
        <v>Automobile Window Service &amp; Repair</v>
      </c>
      <c r="H470" s="7" t="str">
        <f t="array" ref="H470">IF(ISBLANK(E470), "", INDEX(Categories!$B:$B,MATCH(E470,Categories!$A:$A,0)))</f>
        <v/>
      </c>
      <c r="I470" s="7" t="str">
        <f t="array" ref="I470">IF(ISBLANK(F470), "", INDEX(Categories!$B:$B,MATCH(F470,Categories!$A:$A,0)))</f>
        <v/>
      </c>
      <c r="J470" s="4"/>
      <c r="K470" s="4"/>
      <c r="L470" s="4"/>
      <c r="M470" s="4"/>
      <c r="N470" s="4"/>
      <c r="O470" s="4"/>
      <c r="P470" s="4"/>
      <c r="Q470" s="4"/>
    </row>
    <row r="471">
      <c r="A471" s="5">
        <v>470.0</v>
      </c>
      <c r="B471" s="5" t="s">
        <v>676</v>
      </c>
      <c r="C471" s="5" t="s">
        <v>12</v>
      </c>
      <c r="D471" s="6">
        <f>IFERROR(__xludf.DUMMYFUNCTION("SPLIT(MID(C471,2,LEN(C471)-2), "","")"),469.0)</f>
        <v>469</v>
      </c>
      <c r="E471" s="7"/>
      <c r="F471" s="7"/>
      <c r="G471" s="2" t="str">
        <f t="array" ref="G471">IF(ISBLANK(D471), "", INDEX(Categories!$B:$B,MATCH(D471,Categories!$A:$A,0)))</f>
        <v>Automobile - Repairs &amp; Services</v>
      </c>
      <c r="H471" s="7" t="str">
        <f t="array" ref="H471">IF(ISBLANK(E471), "", INDEX(Categories!$B:$B,MATCH(E471,Categories!$A:$A,0)))</f>
        <v/>
      </c>
      <c r="I471" s="7" t="str">
        <f t="array" ref="I471">IF(ISBLANK(F471), "", INDEX(Categories!$B:$B,MATCH(F471,Categories!$A:$A,0)))</f>
        <v/>
      </c>
      <c r="J471" s="4"/>
      <c r="K471" s="4"/>
      <c r="L471" s="4"/>
      <c r="M471" s="4"/>
      <c r="N471" s="4"/>
      <c r="O471" s="4"/>
      <c r="P471" s="4"/>
      <c r="Q471" s="4"/>
    </row>
    <row r="472">
      <c r="A472" s="5">
        <v>471.0</v>
      </c>
      <c r="B472" s="5" t="s">
        <v>677</v>
      </c>
      <c r="C472" s="5" t="s">
        <v>338</v>
      </c>
      <c r="D472" s="6">
        <f>IFERROR(__xludf.DUMMYFUNCTION("SPLIT(MID(C472,2,LEN(C472)-2), "","")"),244.0)</f>
        <v>244</v>
      </c>
      <c r="E472" s="7"/>
      <c r="F472" s="7"/>
      <c r="G472" s="2" t="str">
        <f t="array" ref="G472">IF(ISBLANK(D472), "", INDEX(Categories!$B:$B,MATCH(D472,Categories!$A:$A,0)))</f>
        <v>Office Services, Supplies &amp; Equipment</v>
      </c>
      <c r="H472" s="7" t="str">
        <f t="array" ref="H472">IF(ISBLANK(E472), "", INDEX(Categories!$B:$B,MATCH(E472,Categories!$A:$A,0)))</f>
        <v/>
      </c>
      <c r="I472" s="7" t="str">
        <f t="array" ref="I472">IF(ISBLANK(F472), "", INDEX(Categories!$B:$B,MATCH(F472,Categories!$A:$A,0)))</f>
        <v/>
      </c>
      <c r="J472" s="4"/>
      <c r="K472" s="4"/>
      <c r="L472" s="4"/>
      <c r="M472" s="4"/>
      <c r="N472" s="4"/>
      <c r="O472" s="4"/>
      <c r="P472" s="4"/>
      <c r="Q472" s="4"/>
    </row>
    <row r="473">
      <c r="A473" s="5">
        <v>472.0</v>
      </c>
      <c r="B473" s="5" t="s">
        <v>678</v>
      </c>
      <c r="C473" s="5" t="s">
        <v>34</v>
      </c>
      <c r="D473" s="6">
        <f>IFERROR(__xludf.DUMMYFUNCTION("SPLIT(MID(C473,2,LEN(C473)-2), "","")"),228.0)</f>
        <v>228</v>
      </c>
      <c r="E473" s="7"/>
      <c r="F473" s="7"/>
      <c r="G473" s="2" t="str">
        <f t="array" ref="G473">IF(ISBLANK(D473), "", INDEX(Categories!$B:$B,MATCH(D473,Categories!$A:$A,0)))</f>
        <v>Restaurants</v>
      </c>
      <c r="H473" s="7" t="str">
        <f t="array" ref="H473">IF(ISBLANK(E473), "", INDEX(Categories!$B:$B,MATCH(E473,Categories!$A:$A,0)))</f>
        <v/>
      </c>
      <c r="I473" s="7" t="str">
        <f t="array" ref="I473">IF(ISBLANK(F473), "", INDEX(Categories!$B:$B,MATCH(F473,Categories!$A:$A,0)))</f>
        <v/>
      </c>
      <c r="J473" s="4"/>
      <c r="K473" s="4"/>
      <c r="L473" s="4"/>
      <c r="M473" s="4"/>
      <c r="N473" s="4"/>
      <c r="O473" s="4"/>
      <c r="P473" s="4"/>
      <c r="Q473" s="4"/>
    </row>
    <row r="474">
      <c r="A474" s="5">
        <v>473.0</v>
      </c>
      <c r="B474" s="5" t="s">
        <v>679</v>
      </c>
      <c r="C474" s="5" t="s">
        <v>288</v>
      </c>
      <c r="D474" s="6">
        <f>IFERROR(__xludf.DUMMYFUNCTION("SPLIT(MID(C474,2,LEN(C474)-2), "","")"),1322.0)</f>
        <v>1322</v>
      </c>
      <c r="E474" s="7"/>
      <c r="F474" s="7"/>
      <c r="G474" s="2" t="str">
        <f t="array" ref="G474">IF(ISBLANK(D474), "", INDEX(Categories!$B:$B,MATCH(D474,Categories!$A:$A,0)))</f>
        <v>Financial Consultants</v>
      </c>
      <c r="H474" s="7" t="str">
        <f t="array" ref="H474">IF(ISBLANK(E474), "", INDEX(Categories!$B:$B,MATCH(E474,Categories!$A:$A,0)))</f>
        <v/>
      </c>
      <c r="I474" s="7" t="str">
        <f t="array" ref="I474">IF(ISBLANK(F474), "", INDEX(Categories!$B:$B,MATCH(F474,Categories!$A:$A,0)))</f>
        <v/>
      </c>
      <c r="J474" s="4"/>
      <c r="K474" s="4"/>
      <c r="L474" s="4"/>
      <c r="M474" s="4"/>
      <c r="N474" s="4"/>
      <c r="O474" s="4"/>
      <c r="P474" s="4"/>
      <c r="Q474" s="4"/>
    </row>
    <row r="475">
      <c r="A475" s="5">
        <v>474.0</v>
      </c>
      <c r="B475" s="5" t="s">
        <v>680</v>
      </c>
      <c r="C475" s="5" t="s">
        <v>626</v>
      </c>
      <c r="D475" s="6">
        <f>IFERROR(__xludf.DUMMYFUNCTION("SPLIT(MID(C475,2,LEN(C475)-2), "","")"),1247.0)</f>
        <v>1247</v>
      </c>
      <c r="E475" s="7"/>
      <c r="F475" s="7"/>
      <c r="G475" s="2" t="str">
        <f t="array" ref="G475">IF(ISBLANK(D475), "", INDEX(Categories!$B:$B,MATCH(D475,Categories!$A:$A,0)))</f>
        <v>Clothing Children &amp; Infant</v>
      </c>
      <c r="H475" s="7" t="str">
        <f t="array" ref="H475">IF(ISBLANK(E475), "", INDEX(Categories!$B:$B,MATCH(E475,Categories!$A:$A,0)))</f>
        <v/>
      </c>
      <c r="I475" s="7" t="str">
        <f t="array" ref="I475">IF(ISBLANK(F475), "", INDEX(Categories!$B:$B,MATCH(F475,Categories!$A:$A,0)))</f>
        <v/>
      </c>
      <c r="J475" s="4"/>
      <c r="K475" s="4"/>
      <c r="L475" s="4"/>
      <c r="M475" s="4"/>
      <c r="N475" s="4"/>
      <c r="O475" s="4"/>
      <c r="P475" s="4"/>
      <c r="Q475" s="4"/>
    </row>
    <row r="476">
      <c r="A476" s="5">
        <v>475.0</v>
      </c>
      <c r="B476" s="5" t="s">
        <v>681</v>
      </c>
      <c r="C476" s="5" t="s">
        <v>682</v>
      </c>
      <c r="D476" s="6">
        <f>IFERROR(__xludf.DUMMYFUNCTION("SPLIT(MID(C476,2,LEN(C476)-2), "","")"),87.0)</f>
        <v>87</v>
      </c>
      <c r="E476" s="7"/>
      <c r="F476" s="7"/>
      <c r="G476" s="2" t="str">
        <f t="array" ref="G476">IF(ISBLANK(D476), "", INDEX(Categories!$B:$B,MATCH(D476,Categories!$A:$A,0)))</f>
        <v>Dentist Orthodontists</v>
      </c>
      <c r="H476" s="7" t="str">
        <f t="array" ref="H476">IF(ISBLANK(E476), "", INDEX(Categories!$B:$B,MATCH(E476,Categories!$A:$A,0)))</f>
        <v/>
      </c>
      <c r="I476" s="7" t="str">
        <f t="array" ref="I476">IF(ISBLANK(F476), "", INDEX(Categories!$B:$B,MATCH(F476,Categories!$A:$A,0)))</f>
        <v/>
      </c>
      <c r="J476" s="4"/>
      <c r="K476" s="4"/>
      <c r="L476" s="4"/>
      <c r="M476" s="4"/>
      <c r="N476" s="4"/>
      <c r="O476" s="4"/>
      <c r="P476" s="4"/>
      <c r="Q476" s="4"/>
    </row>
    <row r="477">
      <c r="A477" s="5">
        <v>476.0</v>
      </c>
      <c r="B477" s="5" t="s">
        <v>683</v>
      </c>
      <c r="C477" s="5" t="s">
        <v>170</v>
      </c>
      <c r="D477" s="6">
        <f>IFERROR(__xludf.DUMMYFUNCTION("SPLIT(MID(C477,2,LEN(C477)-2), "","")"),189.0)</f>
        <v>189</v>
      </c>
      <c r="E477" s="7"/>
      <c r="F477" s="7"/>
      <c r="G477" s="2" t="str">
        <f t="array" ref="G477">IF(ISBLANK(D477), "", INDEX(Categories!$B:$B,MATCH(D477,Categories!$A:$A,0)))</f>
        <v>Pharmacies</v>
      </c>
      <c r="H477" s="7" t="str">
        <f t="array" ref="H477">IF(ISBLANK(E477), "", INDEX(Categories!$B:$B,MATCH(E477,Categories!$A:$A,0)))</f>
        <v/>
      </c>
      <c r="I477" s="7" t="str">
        <f t="array" ref="I477">IF(ISBLANK(F477), "", INDEX(Categories!$B:$B,MATCH(F477,Categories!$A:$A,0)))</f>
        <v/>
      </c>
      <c r="J477" s="4"/>
      <c r="K477" s="4"/>
      <c r="L477" s="4"/>
      <c r="M477" s="4"/>
      <c r="N477" s="4"/>
      <c r="O477" s="4"/>
      <c r="P477" s="4"/>
      <c r="Q477" s="4"/>
    </row>
    <row r="478">
      <c r="A478" s="5">
        <v>477.0</v>
      </c>
      <c r="B478" s="5" t="s">
        <v>684</v>
      </c>
      <c r="C478" s="5" t="s">
        <v>685</v>
      </c>
      <c r="D478" s="6">
        <f>IFERROR(__xludf.DUMMYFUNCTION("SPLIT(MID(C478,2,LEN(C478)-2), "","")"),2256.0)</f>
        <v>2256</v>
      </c>
      <c r="E478" s="7"/>
      <c r="F478" s="7"/>
      <c r="G478" s="2" t="str">
        <f t="array" ref="G478">IF(ISBLANK(D478), "", INDEX(Categories!$B:$B,MATCH(D478,Categories!$A:$A,0)))</f>
        <v>Elevators</v>
      </c>
      <c r="H478" s="7" t="str">
        <f t="array" ref="H478">IF(ISBLANK(E478), "", INDEX(Categories!$B:$B,MATCH(E478,Categories!$A:$A,0)))</f>
        <v/>
      </c>
      <c r="I478" s="7" t="str">
        <f t="array" ref="I478">IF(ISBLANK(F478), "", INDEX(Categories!$B:$B,MATCH(F478,Categories!$A:$A,0)))</f>
        <v/>
      </c>
      <c r="J478" s="4"/>
      <c r="K478" s="4"/>
      <c r="L478" s="4"/>
      <c r="M478" s="4"/>
      <c r="N478" s="4"/>
      <c r="O478" s="4"/>
      <c r="P478" s="4"/>
      <c r="Q478" s="4"/>
    </row>
    <row r="479">
      <c r="A479" s="5">
        <v>478.0</v>
      </c>
      <c r="B479" s="5" t="s">
        <v>686</v>
      </c>
      <c r="C479" s="5" t="s">
        <v>20</v>
      </c>
      <c r="D479" s="6">
        <f>IFERROR(__xludf.DUMMYFUNCTION("SPLIT(MID(C479,2,LEN(C479)-2), "","")"),1213.0)</f>
        <v>1213</v>
      </c>
      <c r="E479" s="7"/>
      <c r="F479" s="7"/>
      <c r="G479" s="2" t="str">
        <f t="array" ref="G479">IF(ISBLANK(D479), "", INDEX(Categories!$B:$B,MATCH(D479,Categories!$A:$A,0)))</f>
        <v>Social Service Organizations</v>
      </c>
      <c r="H479" s="7" t="str">
        <f t="array" ref="H479">IF(ISBLANK(E479), "", INDEX(Categories!$B:$B,MATCH(E479,Categories!$A:$A,0)))</f>
        <v/>
      </c>
      <c r="I479" s="7" t="str">
        <f t="array" ref="I479">IF(ISBLANK(F479), "", INDEX(Categories!$B:$B,MATCH(F479,Categories!$A:$A,0)))</f>
        <v/>
      </c>
      <c r="J479" s="4"/>
      <c r="K479" s="4"/>
      <c r="L479" s="4"/>
      <c r="M479" s="4"/>
      <c r="N479" s="4"/>
      <c r="O479" s="4"/>
      <c r="P479" s="4"/>
      <c r="Q479" s="4"/>
    </row>
    <row r="480">
      <c r="A480" s="5">
        <v>479.0</v>
      </c>
      <c r="B480" s="5" t="s">
        <v>687</v>
      </c>
      <c r="C480" s="5" t="s">
        <v>303</v>
      </c>
      <c r="D480" s="6">
        <f>IFERROR(__xludf.DUMMYFUNCTION("SPLIT(MID(C480,2,LEN(C480)-2), "","")"),1241.0)</f>
        <v>1241</v>
      </c>
      <c r="E480" s="7"/>
      <c r="F480" s="7"/>
      <c r="G480" s="2" t="str">
        <f t="array" ref="G480">IF(ISBLANK(D480), "", INDEX(Categories!$B:$B,MATCH(D480,Categories!$A:$A,0)))</f>
        <v>Clothing &amp; Accessories</v>
      </c>
      <c r="H480" s="7" t="str">
        <f t="array" ref="H480">IF(ISBLANK(E480), "", INDEX(Categories!$B:$B,MATCH(E480,Categories!$A:$A,0)))</f>
        <v/>
      </c>
      <c r="I480" s="7" t="str">
        <f t="array" ref="I480">IF(ISBLANK(F480), "", INDEX(Categories!$B:$B,MATCH(F480,Categories!$A:$A,0)))</f>
        <v/>
      </c>
      <c r="J480" s="4"/>
      <c r="K480" s="4"/>
      <c r="L480" s="4"/>
      <c r="M480" s="4"/>
      <c r="N480" s="4"/>
      <c r="O480" s="4"/>
      <c r="P480" s="4"/>
      <c r="Q480" s="4"/>
    </row>
    <row r="481">
      <c r="A481" s="5">
        <v>480.0</v>
      </c>
      <c r="B481" s="5" t="s">
        <v>688</v>
      </c>
      <c r="C481" s="5" t="s">
        <v>689</v>
      </c>
      <c r="D481" s="6">
        <f>IFERROR(__xludf.DUMMYFUNCTION("SPLIT(MID(C481,2,LEN(C481)-2), "","")"),1489.0)</f>
        <v>1489</v>
      </c>
      <c r="E481" s="7"/>
      <c r="F481" s="7"/>
      <c r="G481" s="2" t="str">
        <f t="array" ref="G481">IF(ISBLANK(D481), "", INDEX(Categories!$B:$B,MATCH(D481,Categories!$A:$A,0)))</f>
        <v>Accounting &amp; Bookkeeping Services</v>
      </c>
      <c r="H481" s="7" t="str">
        <f t="array" ref="H481">IF(ISBLANK(E481), "", INDEX(Categories!$B:$B,MATCH(E481,Categories!$A:$A,0)))</f>
        <v/>
      </c>
      <c r="I481" s="7" t="str">
        <f t="array" ref="I481">IF(ISBLANK(F481), "", INDEX(Categories!$B:$B,MATCH(F481,Categories!$A:$A,0)))</f>
        <v/>
      </c>
      <c r="J481" s="4"/>
      <c r="K481" s="4"/>
      <c r="L481" s="4"/>
      <c r="M481" s="4"/>
      <c r="N481" s="4"/>
      <c r="O481" s="4"/>
      <c r="P481" s="4"/>
      <c r="Q481" s="4"/>
    </row>
    <row r="482">
      <c r="A482" s="5">
        <v>481.0</v>
      </c>
      <c r="B482" s="5" t="s">
        <v>690</v>
      </c>
      <c r="C482" s="5" t="s">
        <v>691</v>
      </c>
      <c r="D482" s="6">
        <f>IFERROR(__xludf.DUMMYFUNCTION("SPLIT(MID(C482,2,LEN(C482)-2), "","")"),1323.0)</f>
        <v>1323</v>
      </c>
      <c r="E482" s="7"/>
      <c r="F482" s="7"/>
      <c r="G482" s="2" t="str">
        <f t="array" ref="G482">IF(ISBLANK(D482), "", INDEX(Categories!$B:$B,MATCH(D482,Categories!$A:$A,0)))</f>
        <v>Investment Advisory Service</v>
      </c>
      <c r="H482" s="7" t="str">
        <f t="array" ref="H482">IF(ISBLANK(E482), "", INDEX(Categories!$B:$B,MATCH(E482,Categories!$A:$A,0)))</f>
        <v/>
      </c>
      <c r="I482" s="7" t="str">
        <f t="array" ref="I482">IF(ISBLANK(F482), "", INDEX(Categories!$B:$B,MATCH(F482,Categories!$A:$A,0)))</f>
        <v/>
      </c>
      <c r="J482" s="4"/>
      <c r="K482" s="4"/>
      <c r="L482" s="4"/>
      <c r="M482" s="4"/>
      <c r="N482" s="4"/>
      <c r="O482" s="4"/>
      <c r="P482" s="4"/>
      <c r="Q482" s="4"/>
    </row>
    <row r="483">
      <c r="A483" s="5">
        <v>482.0</v>
      </c>
      <c r="B483" s="5" t="s">
        <v>692</v>
      </c>
      <c r="C483" s="5" t="s">
        <v>693</v>
      </c>
      <c r="D483" s="6">
        <f>IFERROR(__xludf.DUMMYFUNCTION("SPLIT(MID(C483,2,LEN(C483)-2), "","")"),1184.0)</f>
        <v>1184</v>
      </c>
      <c r="E483" s="7"/>
      <c r="F483" s="7"/>
      <c r="G483" s="2" t="str">
        <f t="array" ref="G483">IF(ISBLANK(D483), "", INDEX(Categories!$B:$B,MATCH(D483,Categories!$A:$A,0)))</f>
        <v>Transportation Brokers &amp; Consultants</v>
      </c>
      <c r="H483" s="7" t="str">
        <f t="array" ref="H483">IF(ISBLANK(E483), "", INDEX(Categories!$B:$B,MATCH(E483,Categories!$A:$A,0)))</f>
        <v/>
      </c>
      <c r="I483" s="7" t="str">
        <f t="array" ref="I483">IF(ISBLANK(F483), "", INDEX(Categories!$B:$B,MATCH(F483,Categories!$A:$A,0)))</f>
        <v/>
      </c>
      <c r="J483" s="4"/>
      <c r="K483" s="4"/>
      <c r="L483" s="4"/>
      <c r="M483" s="4"/>
      <c r="N483" s="4"/>
      <c r="O483" s="4"/>
      <c r="P483" s="4"/>
      <c r="Q483" s="4"/>
    </row>
    <row r="484">
      <c r="A484" s="5">
        <v>483.0</v>
      </c>
      <c r="B484" s="5" t="s">
        <v>694</v>
      </c>
      <c r="C484" s="5" t="s">
        <v>695</v>
      </c>
      <c r="D484" s="6">
        <f>IFERROR(__xludf.DUMMYFUNCTION("SPLIT(MID(C484,2,LEN(C484)-2), "","")"),237.0)</f>
        <v>237</v>
      </c>
      <c r="E484" s="7"/>
      <c r="F484" s="7"/>
      <c r="G484" s="2" t="str">
        <f t="array" ref="G484">IF(ISBLANK(D484), "", INDEX(Categories!$B:$B,MATCH(D484,Categories!$A:$A,0)))</f>
        <v>Restaurants Chinese</v>
      </c>
      <c r="H484" s="7" t="str">
        <f t="array" ref="H484">IF(ISBLANK(E484), "", INDEX(Categories!$B:$B,MATCH(E484,Categories!$A:$A,0)))</f>
        <v/>
      </c>
      <c r="I484" s="7" t="str">
        <f t="array" ref="I484">IF(ISBLANK(F484), "", INDEX(Categories!$B:$B,MATCH(F484,Categories!$A:$A,0)))</f>
        <v/>
      </c>
      <c r="J484" s="4"/>
      <c r="K484" s="4"/>
      <c r="L484" s="4"/>
      <c r="M484" s="4"/>
      <c r="N484" s="4"/>
      <c r="O484" s="4"/>
      <c r="P484" s="4"/>
      <c r="Q484" s="4"/>
    </row>
    <row r="485">
      <c r="A485" s="5">
        <v>484.0</v>
      </c>
      <c r="B485" s="5" t="s">
        <v>696</v>
      </c>
      <c r="C485" s="5" t="s">
        <v>62</v>
      </c>
      <c r="D485" s="6">
        <f>IFERROR(__xludf.DUMMYFUNCTION("SPLIT(MID(C485,2,LEN(C485)-2), "","")"),242.0)</f>
        <v>242</v>
      </c>
      <c r="E485" s="7"/>
      <c r="F485" s="7"/>
      <c r="G485" s="2" t="str">
        <f t="array" ref="G485">IF(ISBLANK(D485), "", INDEX(Categories!$B:$B,MATCH(D485,Categories!$A:$A,0)))</f>
        <v>Restaurants Pizza</v>
      </c>
      <c r="H485" s="7" t="str">
        <f t="array" ref="H485">IF(ISBLANK(E485), "", INDEX(Categories!$B:$B,MATCH(E485,Categories!$A:$A,0)))</f>
        <v/>
      </c>
      <c r="I485" s="7" t="str">
        <f t="array" ref="I485">IF(ISBLANK(F485), "", INDEX(Categories!$B:$B,MATCH(F485,Categories!$A:$A,0)))</f>
        <v/>
      </c>
      <c r="J485" s="4"/>
      <c r="K485" s="4"/>
      <c r="L485" s="4"/>
      <c r="M485" s="4"/>
      <c r="N485" s="4"/>
      <c r="O485" s="4"/>
      <c r="P485" s="4"/>
      <c r="Q485" s="4"/>
    </row>
    <row r="486">
      <c r="A486" s="5">
        <v>485.0</v>
      </c>
      <c r="B486" s="5" t="s">
        <v>697</v>
      </c>
      <c r="C486" s="5" t="s">
        <v>20</v>
      </c>
      <c r="D486" s="6">
        <f>IFERROR(__xludf.DUMMYFUNCTION("SPLIT(MID(C486,2,LEN(C486)-2), "","")"),1213.0)</f>
        <v>1213</v>
      </c>
      <c r="E486" s="7"/>
      <c r="F486" s="7"/>
      <c r="G486" s="2" t="str">
        <f t="array" ref="G486">IF(ISBLANK(D486), "", INDEX(Categories!$B:$B,MATCH(D486,Categories!$A:$A,0)))</f>
        <v>Social Service Organizations</v>
      </c>
      <c r="H486" s="7" t="str">
        <f t="array" ref="H486">IF(ISBLANK(E486), "", INDEX(Categories!$B:$B,MATCH(E486,Categories!$A:$A,0)))</f>
        <v/>
      </c>
      <c r="I486" s="7" t="str">
        <f t="array" ref="I486">IF(ISBLANK(F486), "", INDEX(Categories!$B:$B,MATCH(F486,Categories!$A:$A,0)))</f>
        <v/>
      </c>
      <c r="J486" s="4"/>
      <c r="K486" s="4"/>
      <c r="L486" s="4"/>
      <c r="M486" s="4"/>
      <c r="N486" s="4"/>
      <c r="O486" s="4"/>
      <c r="P486" s="4"/>
      <c r="Q486" s="4"/>
    </row>
    <row r="487">
      <c r="A487" s="5">
        <v>486.0</v>
      </c>
      <c r="B487" s="5" t="s">
        <v>698</v>
      </c>
      <c r="C487" s="5" t="s">
        <v>699</v>
      </c>
      <c r="D487" s="6">
        <f>IFERROR(__xludf.DUMMYFUNCTION("SPLIT(MID(C487,2,LEN(C487)-2), "","")"),2847.0)</f>
        <v>2847</v>
      </c>
      <c r="E487" s="7"/>
      <c r="F487" s="7"/>
      <c r="G487" s="2" t="str">
        <f t="array" ref="G487">IF(ISBLANK(D487), "", INDEX(Categories!$B:$B,MATCH(D487,Categories!$A:$A,0)))</f>
        <v>Bottlers</v>
      </c>
      <c r="H487" s="7" t="str">
        <f t="array" ref="H487">IF(ISBLANK(E487), "", INDEX(Categories!$B:$B,MATCH(E487,Categories!$A:$A,0)))</f>
        <v/>
      </c>
      <c r="I487" s="7" t="str">
        <f t="array" ref="I487">IF(ISBLANK(F487), "", INDEX(Categories!$B:$B,MATCH(F487,Categories!$A:$A,0)))</f>
        <v/>
      </c>
      <c r="J487" s="4"/>
      <c r="K487" s="4"/>
      <c r="L487" s="4"/>
      <c r="M487" s="4"/>
      <c r="N487" s="4"/>
      <c r="O487" s="4"/>
      <c r="P487" s="4"/>
      <c r="Q487" s="4"/>
    </row>
    <row r="488">
      <c r="A488" s="5">
        <v>487.0</v>
      </c>
      <c r="B488" s="5" t="s">
        <v>700</v>
      </c>
      <c r="C488" s="5" t="s">
        <v>47</v>
      </c>
      <c r="D488" s="6">
        <f>IFERROR(__xludf.DUMMYFUNCTION("SPLIT(MID(C488,2,LEN(C488)-2), "","")"),546.0)</f>
        <v>546</v>
      </c>
      <c r="E488" s="7"/>
      <c r="F488" s="7"/>
      <c r="G488" s="2" t="str">
        <f t="array" ref="G488">IF(ISBLANK(D488), "", INDEX(Categories!$B:$B,MATCH(D488,Categories!$A:$A,0)))</f>
        <v>Cosmetics &amp; Perfumes Retail</v>
      </c>
      <c r="H488" s="7" t="str">
        <f t="array" ref="H488">IF(ISBLANK(E488), "", INDEX(Categories!$B:$B,MATCH(E488,Categories!$A:$A,0)))</f>
        <v/>
      </c>
      <c r="I488" s="7" t="str">
        <f t="array" ref="I488">IF(ISBLANK(F488), "", INDEX(Categories!$B:$B,MATCH(F488,Categories!$A:$A,0)))</f>
        <v/>
      </c>
      <c r="J488" s="4"/>
      <c r="K488" s="4"/>
      <c r="L488" s="4"/>
      <c r="M488" s="4"/>
      <c r="N488" s="4"/>
      <c r="O488" s="4"/>
      <c r="P488" s="4"/>
      <c r="Q488" s="4"/>
    </row>
    <row r="489">
      <c r="A489" s="5">
        <v>488.0</v>
      </c>
      <c r="B489" s="5" t="s">
        <v>701</v>
      </c>
      <c r="C489" s="5" t="s">
        <v>702</v>
      </c>
      <c r="D489" s="6">
        <f>IFERROR(__xludf.DUMMYFUNCTION("SPLIT(MID(C489,2,LEN(C489)-2), "","")"),1873.0)</f>
        <v>1873</v>
      </c>
      <c r="E489" s="7"/>
      <c r="F489" s="7"/>
      <c r="G489" s="2" t="str">
        <f t="array" ref="G489">IF(ISBLANK(D489), "", INDEX(Categories!$B:$B,MATCH(D489,Categories!$A:$A,0)))</f>
        <v>Pet Services &amp; Supplies</v>
      </c>
      <c r="H489" s="7" t="str">
        <f t="array" ref="H489">IF(ISBLANK(E489), "", INDEX(Categories!$B:$B,MATCH(E489,Categories!$A:$A,0)))</f>
        <v/>
      </c>
      <c r="I489" s="7" t="str">
        <f t="array" ref="I489">IF(ISBLANK(F489), "", INDEX(Categories!$B:$B,MATCH(F489,Categories!$A:$A,0)))</f>
        <v/>
      </c>
      <c r="J489" s="4"/>
      <c r="K489" s="4"/>
      <c r="L489" s="4"/>
      <c r="M489" s="4"/>
      <c r="N489" s="4"/>
      <c r="O489" s="4"/>
      <c r="P489" s="4"/>
      <c r="Q489" s="4"/>
    </row>
    <row r="490">
      <c r="A490" s="5">
        <v>489.0</v>
      </c>
      <c r="B490" s="5" t="s">
        <v>703</v>
      </c>
      <c r="C490" s="5" t="s">
        <v>58</v>
      </c>
      <c r="D490" s="6">
        <f>IFERROR(__xludf.DUMMYFUNCTION("SPLIT(MID(C490,2,LEN(C490)-2), "","")"),1170.0)</f>
        <v>1170</v>
      </c>
      <c r="E490" s="7"/>
      <c r="F490" s="7"/>
      <c r="G490" s="2" t="str">
        <f t="array" ref="G490">IF(ISBLANK(D490), "", INDEX(Categories!$B:$B,MATCH(D490,Categories!$A:$A,0)))</f>
        <v>Gasoline Retail</v>
      </c>
      <c r="H490" s="7" t="str">
        <f t="array" ref="H490">IF(ISBLANK(E490), "", INDEX(Categories!$B:$B,MATCH(E490,Categories!$A:$A,0)))</f>
        <v/>
      </c>
      <c r="I490" s="7" t="str">
        <f t="array" ref="I490">IF(ISBLANK(F490), "", INDEX(Categories!$B:$B,MATCH(F490,Categories!$A:$A,0)))</f>
        <v/>
      </c>
      <c r="J490" s="4"/>
      <c r="K490" s="4"/>
      <c r="L490" s="4"/>
      <c r="M490" s="4"/>
      <c r="N490" s="4"/>
      <c r="O490" s="4"/>
      <c r="P490" s="4"/>
      <c r="Q490" s="4"/>
    </row>
    <row r="491">
      <c r="A491" s="5">
        <v>490.0</v>
      </c>
      <c r="B491" s="5" t="s">
        <v>704</v>
      </c>
      <c r="C491" s="5" t="s">
        <v>96</v>
      </c>
      <c r="D491" s="6">
        <f>IFERROR(__xludf.DUMMYFUNCTION("SPLIT(MID(C491,2,LEN(C491)-2), "","")"),572.0)</f>
        <v>572</v>
      </c>
      <c r="E491" s="7"/>
      <c r="F491" s="7"/>
      <c r="G491" s="2" t="str">
        <f t="array" ref="G491">IF(ISBLANK(D491), "", INDEX(Categories!$B:$B,MATCH(D491,Categories!$A:$A,0)))</f>
        <v>Groceries</v>
      </c>
      <c r="H491" s="7" t="str">
        <f t="array" ref="H491">IF(ISBLANK(E491), "", INDEX(Categories!$B:$B,MATCH(E491,Categories!$A:$A,0)))</f>
        <v/>
      </c>
      <c r="I491" s="7" t="str">
        <f t="array" ref="I491">IF(ISBLANK(F491), "", INDEX(Categories!$B:$B,MATCH(F491,Categories!$A:$A,0)))</f>
        <v/>
      </c>
      <c r="J491" s="4"/>
      <c r="K491" s="4"/>
      <c r="L491" s="4"/>
      <c r="M491" s="4"/>
      <c r="N491" s="4"/>
      <c r="O491" s="4"/>
      <c r="P491" s="4"/>
      <c r="Q491" s="4"/>
    </row>
    <row r="492">
      <c r="A492" s="5">
        <v>491.0</v>
      </c>
      <c r="B492" s="5" t="s">
        <v>705</v>
      </c>
      <c r="C492" s="5" t="s">
        <v>62</v>
      </c>
      <c r="D492" s="6">
        <f>IFERROR(__xludf.DUMMYFUNCTION("SPLIT(MID(C492,2,LEN(C492)-2), "","")"),242.0)</f>
        <v>242</v>
      </c>
      <c r="E492" s="7"/>
      <c r="F492" s="7"/>
      <c r="G492" s="2" t="str">
        <f t="array" ref="G492">IF(ISBLANK(D492), "", INDEX(Categories!$B:$B,MATCH(D492,Categories!$A:$A,0)))</f>
        <v>Restaurants Pizza</v>
      </c>
      <c r="H492" s="7" t="str">
        <f t="array" ref="H492">IF(ISBLANK(E492), "", INDEX(Categories!$B:$B,MATCH(E492,Categories!$A:$A,0)))</f>
        <v/>
      </c>
      <c r="I492" s="7" t="str">
        <f t="array" ref="I492">IF(ISBLANK(F492), "", INDEX(Categories!$B:$B,MATCH(F492,Categories!$A:$A,0)))</f>
        <v/>
      </c>
      <c r="J492" s="4"/>
      <c r="K492" s="4"/>
      <c r="L492" s="4"/>
      <c r="M492" s="4"/>
      <c r="N492" s="4"/>
      <c r="O492" s="4"/>
      <c r="P492" s="4"/>
      <c r="Q492" s="4"/>
    </row>
    <row r="493">
      <c r="A493" s="5">
        <v>492.0</v>
      </c>
      <c r="B493" s="5" t="s">
        <v>706</v>
      </c>
      <c r="C493" s="5" t="s">
        <v>62</v>
      </c>
      <c r="D493" s="6">
        <f>IFERROR(__xludf.DUMMYFUNCTION("SPLIT(MID(C493,2,LEN(C493)-2), "","")"),242.0)</f>
        <v>242</v>
      </c>
      <c r="E493" s="7"/>
      <c r="F493" s="7"/>
      <c r="G493" s="2" t="str">
        <f t="array" ref="G493">IF(ISBLANK(D493), "", INDEX(Categories!$B:$B,MATCH(D493,Categories!$A:$A,0)))</f>
        <v>Restaurants Pizza</v>
      </c>
      <c r="H493" s="7" t="str">
        <f t="array" ref="H493">IF(ISBLANK(E493), "", INDEX(Categories!$B:$B,MATCH(E493,Categories!$A:$A,0)))</f>
        <v/>
      </c>
      <c r="I493" s="7" t="str">
        <f t="array" ref="I493">IF(ISBLANK(F493), "", INDEX(Categories!$B:$B,MATCH(F493,Categories!$A:$A,0)))</f>
        <v/>
      </c>
      <c r="J493" s="4"/>
      <c r="K493" s="4"/>
      <c r="L493" s="4"/>
      <c r="M493" s="4"/>
      <c r="N493" s="4"/>
      <c r="O493" s="4"/>
      <c r="P493" s="4"/>
      <c r="Q493" s="4"/>
    </row>
    <row r="494">
      <c r="A494" s="5">
        <v>493.0</v>
      </c>
      <c r="B494" s="5" t="s">
        <v>707</v>
      </c>
      <c r="C494" s="5" t="s">
        <v>708</v>
      </c>
      <c r="D494" s="6">
        <f>IFERROR(__xludf.DUMMYFUNCTION("SPLIT(MID(C494,2,LEN(C494)-2), "","")"),926.0)</f>
        <v>926</v>
      </c>
      <c r="E494" s="7"/>
      <c r="F494" s="7"/>
      <c r="G494" s="2" t="str">
        <f t="array" ref="G494">IF(ISBLANK(D494), "", INDEX(Categories!$B:$B,MATCH(D494,Categories!$A:$A,0)))</f>
        <v>Birth Control Information &amp; Services</v>
      </c>
      <c r="H494" s="7" t="str">
        <f t="array" ref="H494">IF(ISBLANK(E494), "", INDEX(Categories!$B:$B,MATCH(E494,Categories!$A:$A,0)))</f>
        <v/>
      </c>
      <c r="I494" s="7" t="str">
        <f t="array" ref="I494">IF(ISBLANK(F494), "", INDEX(Categories!$B:$B,MATCH(F494,Categories!$A:$A,0)))</f>
        <v/>
      </c>
      <c r="J494" s="4"/>
      <c r="K494" s="4"/>
      <c r="L494" s="4"/>
      <c r="M494" s="4"/>
      <c r="N494" s="4"/>
      <c r="O494" s="4"/>
      <c r="P494" s="4"/>
      <c r="Q494" s="4"/>
    </row>
    <row r="495">
      <c r="A495" s="5">
        <v>494.0</v>
      </c>
      <c r="B495" s="5" t="s">
        <v>709</v>
      </c>
      <c r="C495" s="5" t="s">
        <v>432</v>
      </c>
      <c r="D495" s="6">
        <f>IFERROR(__xludf.DUMMYFUNCTION("SPLIT(MID(C495,2,LEN(C495)-2), "","")"),1292.0)</f>
        <v>1292</v>
      </c>
      <c r="E495" s="7"/>
      <c r="F495" s="7"/>
      <c r="G495" s="2" t="str">
        <f t="array" ref="G495">IF(ISBLANK(D495), "", INDEX(Categories!$B:$B,MATCH(D495,Categories!$A:$A,0)))</f>
        <v>Gas Industrial Medical Etc Cylinder &amp; Bulk</v>
      </c>
      <c r="H495" s="7" t="str">
        <f t="array" ref="H495">IF(ISBLANK(E495), "", INDEX(Categories!$B:$B,MATCH(E495,Categories!$A:$A,0)))</f>
        <v/>
      </c>
      <c r="I495" s="7" t="str">
        <f t="array" ref="I495">IF(ISBLANK(F495), "", INDEX(Categories!$B:$B,MATCH(F495,Categories!$A:$A,0)))</f>
        <v/>
      </c>
      <c r="J495" s="4"/>
      <c r="K495" s="4"/>
      <c r="L495" s="4"/>
      <c r="M495" s="4"/>
      <c r="N495" s="4"/>
      <c r="O495" s="4"/>
      <c r="P495" s="4"/>
      <c r="Q495" s="4"/>
    </row>
    <row r="496">
      <c r="A496" s="5">
        <v>495.0</v>
      </c>
      <c r="B496" s="5" t="s">
        <v>710</v>
      </c>
      <c r="C496" s="5" t="s">
        <v>460</v>
      </c>
      <c r="D496" s="6">
        <f>IFERROR(__xludf.DUMMYFUNCTION("SPLIT(MID(C496,2,LEN(C496)-2), "","")"),605.0)</f>
        <v>605</v>
      </c>
      <c r="E496" s="7"/>
      <c r="F496" s="7"/>
      <c r="G496" s="2" t="str">
        <f t="array" ref="G496">IF(ISBLANK(D496), "", INDEX(Categories!$B:$B,MATCH(D496,Categories!$A:$A,0)))</f>
        <v>Pretzels Retail</v>
      </c>
      <c r="H496" s="7" t="str">
        <f t="array" ref="H496">IF(ISBLANK(E496), "", INDEX(Categories!$B:$B,MATCH(E496,Categories!$A:$A,0)))</f>
        <v/>
      </c>
      <c r="I496" s="7" t="str">
        <f t="array" ref="I496">IF(ISBLANK(F496), "", INDEX(Categories!$B:$B,MATCH(F496,Categories!$A:$A,0)))</f>
        <v/>
      </c>
      <c r="J496" s="4"/>
      <c r="K496" s="4"/>
      <c r="L496" s="4"/>
      <c r="M496" s="4"/>
      <c r="N496" s="4"/>
      <c r="O496" s="4"/>
      <c r="P496" s="4"/>
      <c r="Q496" s="4"/>
    </row>
    <row r="497">
      <c r="A497" s="5">
        <v>496.0</v>
      </c>
      <c r="B497" s="5" t="s">
        <v>711</v>
      </c>
      <c r="C497" s="5" t="s">
        <v>18</v>
      </c>
      <c r="D497" s="6">
        <f>IFERROR(__xludf.DUMMYFUNCTION("SPLIT(MID(C497,2,LEN(C497)-2), "","")"),121.0)</f>
        <v>121</v>
      </c>
      <c r="E497" s="7"/>
      <c r="F497" s="7"/>
      <c r="G497" s="2" t="str">
        <f t="array" ref="G497">IF(ISBLANK(D497), "", INDEX(Categories!$B:$B,MATCH(D497,Categories!$A:$A,0)))</f>
        <v>Insurance</v>
      </c>
      <c r="H497" s="7" t="str">
        <f t="array" ref="H497">IF(ISBLANK(E497), "", INDEX(Categories!$B:$B,MATCH(E497,Categories!$A:$A,0)))</f>
        <v/>
      </c>
      <c r="I497" s="7" t="str">
        <f t="array" ref="I497">IF(ISBLANK(F497), "", INDEX(Categories!$B:$B,MATCH(F497,Categories!$A:$A,0)))</f>
        <v/>
      </c>
      <c r="J497" s="4"/>
      <c r="K497" s="4"/>
      <c r="L497" s="4"/>
      <c r="M497" s="4"/>
      <c r="N497" s="4"/>
      <c r="O497" s="4"/>
      <c r="P497" s="4"/>
      <c r="Q497" s="4"/>
    </row>
    <row r="498">
      <c r="A498" s="5">
        <v>497.0</v>
      </c>
      <c r="B498" s="5" t="s">
        <v>712</v>
      </c>
      <c r="C498" s="5" t="s">
        <v>111</v>
      </c>
      <c r="D498" s="6">
        <f>IFERROR(__xludf.DUMMYFUNCTION("SPLIT(MID(C498,2,LEN(C498)-2), "","")"),444.0)</f>
        <v>444</v>
      </c>
      <c r="E498" s="7"/>
      <c r="F498" s="7"/>
      <c r="G498" s="2" t="str">
        <f t="array" ref="G498">IF(ISBLANK(D498), "", INDEX(Categories!$B:$B,MATCH(D498,Categories!$A:$A,0)))</f>
        <v>Hair Salons &amp; Barbers</v>
      </c>
      <c r="H498" s="7" t="str">
        <f t="array" ref="H498">IF(ISBLANK(E498), "", INDEX(Categories!$B:$B,MATCH(E498,Categories!$A:$A,0)))</f>
        <v/>
      </c>
      <c r="I498" s="7" t="str">
        <f t="array" ref="I498">IF(ISBLANK(F498), "", INDEX(Categories!$B:$B,MATCH(F498,Categories!$A:$A,0)))</f>
        <v/>
      </c>
      <c r="J498" s="4"/>
      <c r="K498" s="4"/>
      <c r="L498" s="4"/>
      <c r="M498" s="4"/>
      <c r="N498" s="4"/>
      <c r="O498" s="4"/>
      <c r="P498" s="4"/>
      <c r="Q498" s="4"/>
    </row>
    <row r="499">
      <c r="A499" s="5">
        <v>498.0</v>
      </c>
      <c r="B499" s="5" t="s">
        <v>713</v>
      </c>
      <c r="C499" s="5" t="s">
        <v>18</v>
      </c>
      <c r="D499" s="6">
        <f>IFERROR(__xludf.DUMMYFUNCTION("SPLIT(MID(C499,2,LEN(C499)-2), "","")"),121.0)</f>
        <v>121</v>
      </c>
      <c r="E499" s="7"/>
      <c r="F499" s="7"/>
      <c r="G499" s="2" t="str">
        <f t="array" ref="G499">IF(ISBLANK(D499), "", INDEX(Categories!$B:$B,MATCH(D499,Categories!$A:$A,0)))</f>
        <v>Insurance</v>
      </c>
      <c r="H499" s="7" t="str">
        <f t="array" ref="H499">IF(ISBLANK(E499), "", INDEX(Categories!$B:$B,MATCH(E499,Categories!$A:$A,0)))</f>
        <v/>
      </c>
      <c r="I499" s="7" t="str">
        <f t="array" ref="I499">IF(ISBLANK(F499), "", INDEX(Categories!$B:$B,MATCH(F499,Categories!$A:$A,0)))</f>
        <v/>
      </c>
      <c r="J499" s="4"/>
      <c r="K499" s="4"/>
      <c r="L499" s="4"/>
      <c r="M499" s="4"/>
      <c r="N499" s="4"/>
      <c r="O499" s="4"/>
      <c r="P499" s="4"/>
      <c r="Q499" s="4"/>
    </row>
    <row r="500">
      <c r="A500" s="5">
        <v>499.0</v>
      </c>
      <c r="B500" s="5" t="s">
        <v>714</v>
      </c>
      <c r="C500" s="5" t="s">
        <v>309</v>
      </c>
      <c r="D500" s="6">
        <f>IFERROR(__xludf.DUMMYFUNCTION("SPLIT(MID(C500,2,LEN(C500)-2), "","")"),458.0)</f>
        <v>458</v>
      </c>
      <c r="E500" s="7"/>
      <c r="F500" s="7"/>
      <c r="G500" s="2" t="str">
        <f t="array" ref="G500">IF(ISBLANK(D500), "", INDEX(Categories!$B:$B,MATCH(D500,Categories!$A:$A,0)))</f>
        <v>Real Estate - Brokers &amp; Agents</v>
      </c>
      <c r="H500" s="7" t="str">
        <f t="array" ref="H500">IF(ISBLANK(E500), "", INDEX(Categories!$B:$B,MATCH(E500,Categories!$A:$A,0)))</f>
        <v/>
      </c>
      <c r="I500" s="7" t="str">
        <f t="array" ref="I500">IF(ISBLANK(F500), "", INDEX(Categories!$B:$B,MATCH(F500,Categories!$A:$A,0)))</f>
        <v/>
      </c>
      <c r="J500" s="4"/>
      <c r="K500" s="4"/>
      <c r="L500" s="4"/>
      <c r="M500" s="4"/>
      <c r="N500" s="4"/>
      <c r="O500" s="4"/>
      <c r="P500" s="4"/>
      <c r="Q500" s="4"/>
    </row>
    <row r="501">
      <c r="A501" s="5">
        <v>500.0</v>
      </c>
      <c r="B501" s="5" t="s">
        <v>715</v>
      </c>
      <c r="C501" s="5" t="s">
        <v>104</v>
      </c>
      <c r="D501" s="6">
        <f>IFERROR(__xludf.DUMMYFUNCTION("SPLIT(MID(C501,2,LEN(C501)-2), "","")"),1327.0)</f>
        <v>1327</v>
      </c>
      <c r="E501" s="7"/>
      <c r="F501" s="7"/>
      <c r="G501" s="2" t="str">
        <f t="array" ref="G501">IF(ISBLANK(D501), "", INDEX(Categories!$B:$B,MATCH(D501,Categories!$A:$A,0)))</f>
        <v>Investments Securities</v>
      </c>
      <c r="H501" s="7" t="str">
        <f t="array" ref="H501">IF(ISBLANK(E501), "", INDEX(Categories!$B:$B,MATCH(E501,Categories!$A:$A,0)))</f>
        <v/>
      </c>
      <c r="I501" s="7" t="str">
        <f t="array" ref="I501">IF(ISBLANK(F501), "", INDEX(Categories!$B:$B,MATCH(F501,Categories!$A:$A,0)))</f>
        <v/>
      </c>
      <c r="J501" s="4"/>
      <c r="K501" s="4"/>
      <c r="L501" s="4"/>
      <c r="M501" s="4"/>
      <c r="N501" s="4"/>
      <c r="O501" s="4"/>
      <c r="P501" s="4"/>
      <c r="Q501" s="4"/>
    </row>
    <row r="502">
      <c r="A502" s="5">
        <v>501.0</v>
      </c>
      <c r="B502" s="5" t="s">
        <v>716</v>
      </c>
      <c r="C502" s="5" t="s">
        <v>497</v>
      </c>
      <c r="D502" s="6">
        <f>IFERROR(__xludf.DUMMYFUNCTION("SPLIT(MID(C502,2,LEN(C502)-2), "","")"),2348.0)</f>
        <v>2348</v>
      </c>
      <c r="E502" s="7"/>
      <c r="F502" s="7"/>
      <c r="G502" s="2" t="str">
        <f t="array" ref="G502">IF(ISBLANK(D502), "", INDEX(Categories!$B:$B,MATCH(D502,Categories!$A:$A,0)))</f>
        <v>Real Estate - Development</v>
      </c>
      <c r="H502" s="7" t="str">
        <f t="array" ref="H502">IF(ISBLANK(E502), "", INDEX(Categories!$B:$B,MATCH(E502,Categories!$A:$A,0)))</f>
        <v/>
      </c>
      <c r="I502" s="7" t="str">
        <f t="array" ref="I502">IF(ISBLANK(F502), "", INDEX(Categories!$B:$B,MATCH(F502,Categories!$A:$A,0)))</f>
        <v/>
      </c>
      <c r="J502" s="4"/>
      <c r="K502" s="4"/>
      <c r="L502" s="4"/>
      <c r="M502" s="4"/>
      <c r="N502" s="4"/>
      <c r="O502" s="4"/>
      <c r="P502" s="4"/>
      <c r="Q502" s="4"/>
    </row>
    <row r="503">
      <c r="A503" s="5">
        <v>502.0</v>
      </c>
      <c r="B503" s="5" t="s">
        <v>717</v>
      </c>
      <c r="C503" s="5" t="s">
        <v>145</v>
      </c>
      <c r="D503" s="6">
        <f>IFERROR(__xludf.DUMMYFUNCTION("SPLIT(MID(C503,2,LEN(C503)-2), "","")"),476.0)</f>
        <v>476</v>
      </c>
      <c r="E503" s="7"/>
      <c r="F503" s="7"/>
      <c r="G503" s="2" t="str">
        <f t="array" ref="G503">IF(ISBLANK(D503), "", INDEX(Categories!$B:$B,MATCH(D503,Categories!$A:$A,0)))</f>
        <v>Automobile Oil &amp; Lubrication Services</v>
      </c>
      <c r="H503" s="7" t="str">
        <f t="array" ref="H503">IF(ISBLANK(E503), "", INDEX(Categories!$B:$B,MATCH(E503,Categories!$A:$A,0)))</f>
        <v/>
      </c>
      <c r="I503" s="7" t="str">
        <f t="array" ref="I503">IF(ISBLANK(F503), "", INDEX(Categories!$B:$B,MATCH(F503,Categories!$A:$A,0)))</f>
        <v/>
      </c>
      <c r="J503" s="4"/>
      <c r="K503" s="4"/>
      <c r="L503" s="4"/>
      <c r="M503" s="4"/>
      <c r="N503" s="4"/>
      <c r="O503" s="4"/>
      <c r="P503" s="4"/>
      <c r="Q503" s="4"/>
    </row>
    <row r="504">
      <c r="A504" s="5">
        <v>503.0</v>
      </c>
      <c r="B504" s="5" t="s">
        <v>718</v>
      </c>
      <c r="C504" s="5" t="s">
        <v>280</v>
      </c>
      <c r="D504" s="6">
        <f>IFERROR(__xludf.DUMMYFUNCTION("SPLIT(MID(C504,2,LEN(C504)-2), "","")"),936.0)</f>
        <v>936</v>
      </c>
      <c r="E504" s="7"/>
      <c r="F504" s="7"/>
      <c r="G504" s="2" t="str">
        <f t="array" ref="G504">IF(ISBLANK(D504), "", INDEX(Categories!$B:$B,MATCH(D504,Categories!$A:$A,0)))</f>
        <v>Loans</v>
      </c>
      <c r="H504" s="7" t="str">
        <f t="array" ref="H504">IF(ISBLANK(E504), "", INDEX(Categories!$B:$B,MATCH(E504,Categories!$A:$A,0)))</f>
        <v/>
      </c>
      <c r="I504" s="7" t="str">
        <f t="array" ref="I504">IF(ISBLANK(F504), "", INDEX(Categories!$B:$B,MATCH(F504,Categories!$A:$A,0)))</f>
        <v/>
      </c>
      <c r="J504" s="4"/>
      <c r="K504" s="4"/>
      <c r="L504" s="4"/>
      <c r="M504" s="4"/>
      <c r="N504" s="4"/>
      <c r="O504" s="4"/>
      <c r="P504" s="4"/>
      <c r="Q504" s="4"/>
    </row>
    <row r="505">
      <c r="A505" s="5">
        <v>504.0</v>
      </c>
      <c r="B505" s="5" t="s">
        <v>719</v>
      </c>
      <c r="C505" s="5" t="s">
        <v>34</v>
      </c>
      <c r="D505" s="6">
        <f>IFERROR(__xludf.DUMMYFUNCTION("SPLIT(MID(C505,2,LEN(C505)-2), "","")"),228.0)</f>
        <v>228</v>
      </c>
      <c r="E505" s="7"/>
      <c r="F505" s="7"/>
      <c r="G505" s="2" t="str">
        <f t="array" ref="G505">IF(ISBLANK(D505), "", INDEX(Categories!$B:$B,MATCH(D505,Categories!$A:$A,0)))</f>
        <v>Restaurants</v>
      </c>
      <c r="H505" s="7" t="str">
        <f t="array" ref="H505">IF(ISBLANK(E505), "", INDEX(Categories!$B:$B,MATCH(E505,Categories!$A:$A,0)))</f>
        <v/>
      </c>
      <c r="I505" s="7" t="str">
        <f t="array" ref="I505">IF(ISBLANK(F505), "", INDEX(Categories!$B:$B,MATCH(F505,Categories!$A:$A,0)))</f>
        <v/>
      </c>
      <c r="J505" s="4"/>
      <c r="K505" s="4"/>
      <c r="L505" s="4"/>
      <c r="M505" s="4"/>
      <c r="N505" s="4"/>
      <c r="O505" s="4"/>
      <c r="P505" s="4"/>
      <c r="Q505" s="4"/>
    </row>
    <row r="506">
      <c r="A506" s="5">
        <v>505.0</v>
      </c>
      <c r="B506" s="5" t="s">
        <v>720</v>
      </c>
      <c r="C506" s="5" t="s">
        <v>553</v>
      </c>
      <c r="D506" s="6">
        <f>IFERROR(__xludf.DUMMYFUNCTION("SPLIT(MID(C506,2,LEN(C506)-2), "","")"),739.0)</f>
        <v>739</v>
      </c>
      <c r="E506" s="7"/>
      <c r="F506" s="7"/>
      <c r="G506" s="2" t="str">
        <f t="array" ref="G506">IF(ISBLANK(D506), "", INDEX(Categories!$B:$B,MATCH(D506,Categories!$A:$A,0)))</f>
        <v>Shoes &amp; Shoe Repairs</v>
      </c>
      <c r="H506" s="7" t="str">
        <f t="array" ref="H506">IF(ISBLANK(E506), "", INDEX(Categories!$B:$B,MATCH(E506,Categories!$A:$A,0)))</f>
        <v/>
      </c>
      <c r="I506" s="7" t="str">
        <f t="array" ref="I506">IF(ISBLANK(F506), "", INDEX(Categories!$B:$B,MATCH(F506,Categories!$A:$A,0)))</f>
        <v/>
      </c>
      <c r="J506" s="4"/>
      <c r="K506" s="4"/>
      <c r="L506" s="4"/>
      <c r="M506" s="4"/>
      <c r="N506" s="4"/>
      <c r="O506" s="4"/>
      <c r="P506" s="4"/>
      <c r="Q506" s="4"/>
    </row>
    <row r="507">
      <c r="A507" s="5">
        <v>506.0</v>
      </c>
      <c r="B507" s="5" t="s">
        <v>721</v>
      </c>
      <c r="C507" s="5" t="s">
        <v>238</v>
      </c>
      <c r="D507" s="6">
        <f>IFERROR(__xludf.DUMMYFUNCTION("SPLIT(MID(C507,2,LEN(C507)-2), "","")"),2536.0)</f>
        <v>2536</v>
      </c>
      <c r="E507" s="7"/>
      <c r="F507" s="7"/>
      <c r="G507" s="2" t="str">
        <f t="array" ref="G507">IF(ISBLANK(D507), "", INDEX(Categories!$B:$B,MATCH(D507,Categories!$A:$A,0)))</f>
        <v>Carpet Rug &amp; Upholstery Cleaners</v>
      </c>
      <c r="H507" s="7" t="str">
        <f t="array" ref="H507">IF(ISBLANK(E507), "", INDEX(Categories!$B:$B,MATCH(E507,Categories!$A:$A,0)))</f>
        <v/>
      </c>
      <c r="I507" s="7" t="str">
        <f t="array" ref="I507">IF(ISBLANK(F507), "", INDEX(Categories!$B:$B,MATCH(F507,Categories!$A:$A,0)))</f>
        <v/>
      </c>
      <c r="J507" s="4"/>
      <c r="K507" s="4"/>
      <c r="L507" s="4"/>
      <c r="M507" s="4"/>
      <c r="N507" s="4"/>
      <c r="O507" s="4"/>
      <c r="P507" s="4"/>
      <c r="Q507" s="4"/>
    </row>
    <row r="508">
      <c r="A508" s="5">
        <v>507.0</v>
      </c>
      <c r="B508" s="5" t="s">
        <v>722</v>
      </c>
      <c r="C508" s="5" t="s">
        <v>60</v>
      </c>
      <c r="D508" s="6">
        <f>IFERROR(__xludf.DUMMYFUNCTION("SPLIT(MID(C508,2,LEN(C508)-2), "","")"),240.0)</f>
        <v>240</v>
      </c>
      <c r="E508" s="7"/>
      <c r="F508" s="7"/>
      <c r="G508" s="2" t="str">
        <f t="array" ref="G508">IF(ISBLANK(D508), "", INDEX(Categories!$B:$B,MATCH(D508,Categories!$A:$A,0)))</f>
        <v>Restaurants Fast Food</v>
      </c>
      <c r="H508" s="7" t="str">
        <f t="array" ref="H508">IF(ISBLANK(E508), "", INDEX(Categories!$B:$B,MATCH(E508,Categories!$A:$A,0)))</f>
        <v/>
      </c>
      <c r="I508" s="7" t="str">
        <f t="array" ref="I508">IF(ISBLANK(F508), "", INDEX(Categories!$B:$B,MATCH(F508,Categories!$A:$A,0)))</f>
        <v/>
      </c>
      <c r="J508" s="4"/>
      <c r="K508" s="4"/>
      <c r="L508" s="4"/>
      <c r="M508" s="4"/>
      <c r="N508" s="4"/>
      <c r="O508" s="4"/>
      <c r="P508" s="4"/>
      <c r="Q508" s="4"/>
    </row>
    <row r="509">
      <c r="A509" s="5">
        <v>508.0</v>
      </c>
      <c r="B509" s="5" t="s">
        <v>723</v>
      </c>
      <c r="C509" s="5" t="s">
        <v>87</v>
      </c>
      <c r="D509" s="6">
        <f>IFERROR(__xludf.DUMMYFUNCTION("SPLIT(MID(C509,2,LEN(C509)-2), "","")"),168.0)</f>
        <v>168</v>
      </c>
      <c r="E509" s="7"/>
      <c r="F509" s="7"/>
      <c r="G509" s="2" t="str">
        <f t="array" ref="G509">IF(ISBLANK(D509), "", INDEX(Categories!$B:$B,MATCH(D509,Categories!$A:$A,0)))</f>
        <v>Hotels &amp; Motels</v>
      </c>
      <c r="H509" s="7" t="str">
        <f t="array" ref="H509">IF(ISBLANK(E509), "", INDEX(Categories!$B:$B,MATCH(E509,Categories!$A:$A,0)))</f>
        <v/>
      </c>
      <c r="I509" s="7" t="str">
        <f t="array" ref="I509">IF(ISBLANK(F509), "", INDEX(Categories!$B:$B,MATCH(F509,Categories!$A:$A,0)))</f>
        <v/>
      </c>
      <c r="J509" s="4"/>
      <c r="K509" s="4"/>
      <c r="L509" s="4"/>
      <c r="M509" s="4"/>
      <c r="N509" s="4"/>
      <c r="O509" s="4"/>
      <c r="P509" s="4"/>
      <c r="Q509" s="4"/>
    </row>
    <row r="510">
      <c r="A510" s="5">
        <v>509.0</v>
      </c>
      <c r="B510" s="5" t="s">
        <v>724</v>
      </c>
      <c r="C510" s="5" t="s">
        <v>725</v>
      </c>
      <c r="D510" s="6">
        <f>IFERROR(__xludf.DUMMYFUNCTION("SPLIT(MID(C510,2,LEN(C510)-2), "","")"),863.0)</f>
        <v>863</v>
      </c>
      <c r="E510" s="7"/>
      <c r="F510" s="7"/>
      <c r="G510" s="2" t="str">
        <f t="array" ref="G510">IF(ISBLANK(D510), "", INDEX(Categories!$B:$B,MATCH(D510,Categories!$A:$A,0)))</f>
        <v>Compact Discs Cassette Tapes &amp; Records</v>
      </c>
      <c r="H510" s="7" t="str">
        <f t="array" ref="H510">IF(ISBLANK(E510), "", INDEX(Categories!$B:$B,MATCH(E510,Categories!$A:$A,0)))</f>
        <v/>
      </c>
      <c r="I510" s="7" t="str">
        <f t="array" ref="I510">IF(ISBLANK(F510), "", INDEX(Categories!$B:$B,MATCH(F510,Categories!$A:$A,0)))</f>
        <v/>
      </c>
      <c r="J510" s="4"/>
      <c r="K510" s="4"/>
      <c r="L510" s="4"/>
      <c r="M510" s="4"/>
      <c r="N510" s="4"/>
      <c r="O510" s="4"/>
      <c r="P510" s="4"/>
      <c r="Q510" s="4"/>
    </row>
    <row r="511">
      <c r="A511" s="5">
        <v>510.0</v>
      </c>
      <c r="B511" s="5" t="s">
        <v>726</v>
      </c>
      <c r="C511" s="5" t="s">
        <v>553</v>
      </c>
      <c r="D511" s="6">
        <f>IFERROR(__xludf.DUMMYFUNCTION("SPLIT(MID(C511,2,LEN(C511)-2), "","")"),739.0)</f>
        <v>739</v>
      </c>
      <c r="E511" s="7"/>
      <c r="F511" s="7"/>
      <c r="G511" s="2" t="str">
        <f t="array" ref="G511">IF(ISBLANK(D511), "", INDEX(Categories!$B:$B,MATCH(D511,Categories!$A:$A,0)))</f>
        <v>Shoes &amp; Shoe Repairs</v>
      </c>
      <c r="H511" s="7" t="str">
        <f t="array" ref="H511">IF(ISBLANK(E511), "", INDEX(Categories!$B:$B,MATCH(E511,Categories!$A:$A,0)))</f>
        <v/>
      </c>
      <c r="I511" s="7" t="str">
        <f t="array" ref="I511">IF(ISBLANK(F511), "", INDEX(Categories!$B:$B,MATCH(F511,Categories!$A:$A,0)))</f>
        <v/>
      </c>
      <c r="J511" s="4"/>
      <c r="K511" s="4"/>
      <c r="L511" s="4"/>
      <c r="M511" s="4"/>
      <c r="N511" s="4"/>
      <c r="O511" s="4"/>
      <c r="P511" s="4"/>
      <c r="Q511" s="4"/>
    </row>
    <row r="512">
      <c r="A512" s="5">
        <v>511.0</v>
      </c>
      <c r="B512" s="5" t="s">
        <v>727</v>
      </c>
      <c r="C512" s="5" t="s">
        <v>43</v>
      </c>
      <c r="D512" s="6">
        <f>IFERROR(__xludf.DUMMYFUNCTION("SPLIT(MID(C512,2,LEN(C512)-2), "","")"),292.0)</f>
        <v>292</v>
      </c>
      <c r="E512" s="7"/>
      <c r="F512" s="7"/>
      <c r="G512" s="2" t="str">
        <f t="array" ref="G512">IF(ISBLANK(D512), "", INDEX(Categories!$B:$B,MATCH(D512,Categories!$A:$A,0)))</f>
        <v>Banks</v>
      </c>
      <c r="H512" s="7" t="str">
        <f t="array" ref="H512">IF(ISBLANK(E512), "", INDEX(Categories!$B:$B,MATCH(E512,Categories!$A:$A,0)))</f>
        <v/>
      </c>
      <c r="I512" s="7" t="str">
        <f t="array" ref="I512">IF(ISBLANK(F512), "", INDEX(Categories!$B:$B,MATCH(F512,Categories!$A:$A,0)))</f>
        <v/>
      </c>
      <c r="J512" s="4"/>
      <c r="K512" s="4"/>
      <c r="L512" s="4"/>
      <c r="M512" s="4"/>
      <c r="N512" s="4"/>
      <c r="O512" s="4"/>
      <c r="P512" s="4"/>
      <c r="Q512" s="4"/>
    </row>
    <row r="513">
      <c r="A513" s="5">
        <v>512.0</v>
      </c>
      <c r="B513" s="5" t="s">
        <v>728</v>
      </c>
      <c r="C513" s="5" t="s">
        <v>428</v>
      </c>
      <c r="D513" s="6">
        <f>IFERROR(__xludf.DUMMYFUNCTION("SPLIT(MID(C513,2,LEN(C513)-2), "","")"),558.0)</f>
        <v>558</v>
      </c>
      <c r="E513" s="7"/>
      <c r="F513" s="7"/>
      <c r="G513" s="2" t="str">
        <f t="array" ref="G513">IF(ISBLANK(D513), "", INDEX(Categories!$B:$B,MATCH(D513,Categories!$A:$A,0)))</f>
        <v>Employment Agencies</v>
      </c>
      <c r="H513" s="7" t="str">
        <f t="array" ref="H513">IF(ISBLANK(E513), "", INDEX(Categories!$B:$B,MATCH(E513,Categories!$A:$A,0)))</f>
        <v/>
      </c>
      <c r="I513" s="7" t="str">
        <f t="array" ref="I513">IF(ISBLANK(F513), "", INDEX(Categories!$B:$B,MATCH(F513,Categories!$A:$A,0)))</f>
        <v/>
      </c>
      <c r="J513" s="4"/>
      <c r="K513" s="4"/>
      <c r="L513" s="4"/>
      <c r="M513" s="4"/>
      <c r="N513" s="4"/>
      <c r="O513" s="4"/>
      <c r="P513" s="4"/>
      <c r="Q513" s="4"/>
    </row>
    <row r="514">
      <c r="A514" s="5">
        <v>513.0</v>
      </c>
      <c r="B514" s="5" t="s">
        <v>729</v>
      </c>
      <c r="C514" s="5" t="s">
        <v>730</v>
      </c>
      <c r="D514" s="6">
        <f>IFERROR(__xludf.DUMMYFUNCTION("SPLIT(MID(C514,2,LEN(C514)-2), "","")"),2765.0)</f>
        <v>2765</v>
      </c>
      <c r="E514" s="7"/>
      <c r="F514" s="7"/>
      <c r="G514" s="2" t="str">
        <f t="array" ref="G514">IF(ISBLANK(D514), "", INDEX(Categories!$B:$B,MATCH(D514,Categories!$A:$A,0)))</f>
        <v>Miscellaneous Business Services</v>
      </c>
      <c r="H514" s="7" t="str">
        <f t="array" ref="H514">IF(ISBLANK(E514), "", INDEX(Categories!$B:$B,MATCH(E514,Categories!$A:$A,0)))</f>
        <v/>
      </c>
      <c r="I514" s="7" t="str">
        <f t="array" ref="I514">IF(ISBLANK(F514), "", INDEX(Categories!$B:$B,MATCH(F514,Categories!$A:$A,0)))</f>
        <v/>
      </c>
      <c r="J514" s="4"/>
      <c r="K514" s="4"/>
      <c r="L514" s="4"/>
      <c r="M514" s="4"/>
      <c r="N514" s="4"/>
      <c r="O514" s="4"/>
      <c r="P514" s="4"/>
      <c r="Q514" s="4"/>
    </row>
    <row r="515">
      <c r="A515" s="5">
        <v>514.0</v>
      </c>
      <c r="B515" s="5" t="s">
        <v>731</v>
      </c>
      <c r="C515" s="5" t="s">
        <v>104</v>
      </c>
      <c r="D515" s="6">
        <f>IFERROR(__xludf.DUMMYFUNCTION("SPLIT(MID(C515,2,LEN(C515)-2), "","")"),1327.0)</f>
        <v>1327</v>
      </c>
      <c r="E515" s="7"/>
      <c r="F515" s="7"/>
      <c r="G515" s="2" t="str">
        <f t="array" ref="G515">IF(ISBLANK(D515), "", INDEX(Categories!$B:$B,MATCH(D515,Categories!$A:$A,0)))</f>
        <v>Investments Securities</v>
      </c>
      <c r="H515" s="7" t="str">
        <f t="array" ref="H515">IF(ISBLANK(E515), "", INDEX(Categories!$B:$B,MATCH(E515,Categories!$A:$A,0)))</f>
        <v/>
      </c>
      <c r="I515" s="7" t="str">
        <f t="array" ref="I515">IF(ISBLANK(F515), "", INDEX(Categories!$B:$B,MATCH(F515,Categories!$A:$A,0)))</f>
        <v/>
      </c>
      <c r="J515" s="4"/>
      <c r="K515" s="4"/>
      <c r="L515" s="4"/>
      <c r="M515" s="4"/>
      <c r="N515" s="4"/>
      <c r="O515" s="4"/>
      <c r="P515" s="4"/>
      <c r="Q515" s="4"/>
    </row>
    <row r="516">
      <c r="A516" s="5">
        <v>515.0</v>
      </c>
      <c r="B516" s="5" t="s">
        <v>732</v>
      </c>
      <c r="C516" s="5" t="s">
        <v>733</v>
      </c>
      <c r="D516" s="6">
        <f>IFERROR(__xludf.DUMMYFUNCTION("SPLIT(MID(C516,2,LEN(C516)-2), "","")"),576.0)</f>
        <v>576</v>
      </c>
      <c r="E516" s="7"/>
      <c r="F516" s="7"/>
      <c r="G516" s="2" t="str">
        <f t="array" ref="G516">IF(ISBLANK(D516), "", INDEX(Categories!$B:$B,MATCH(D516,Categories!$A:$A,0)))</f>
        <v>Candy &amp; Confectionery Retail</v>
      </c>
      <c r="H516" s="7" t="str">
        <f t="array" ref="H516">IF(ISBLANK(E516), "", INDEX(Categories!$B:$B,MATCH(E516,Categories!$A:$A,0)))</f>
        <v/>
      </c>
      <c r="I516" s="7" t="str">
        <f t="array" ref="I516">IF(ISBLANK(F516), "", INDEX(Categories!$B:$B,MATCH(F516,Categories!$A:$A,0)))</f>
        <v/>
      </c>
      <c r="J516" s="4"/>
      <c r="K516" s="4"/>
      <c r="L516" s="4"/>
      <c r="M516" s="4"/>
      <c r="N516" s="4"/>
      <c r="O516" s="4"/>
      <c r="P516" s="4"/>
      <c r="Q516" s="4"/>
    </row>
    <row r="517">
      <c r="A517" s="5">
        <v>516.0</v>
      </c>
      <c r="B517" s="5" t="s">
        <v>734</v>
      </c>
      <c r="C517" s="5" t="s">
        <v>62</v>
      </c>
      <c r="D517" s="6">
        <f>IFERROR(__xludf.DUMMYFUNCTION("SPLIT(MID(C517,2,LEN(C517)-2), "","")"),242.0)</f>
        <v>242</v>
      </c>
      <c r="E517" s="7"/>
      <c r="F517" s="7"/>
      <c r="G517" s="2" t="str">
        <f t="array" ref="G517">IF(ISBLANK(D517), "", INDEX(Categories!$B:$B,MATCH(D517,Categories!$A:$A,0)))</f>
        <v>Restaurants Pizza</v>
      </c>
      <c r="H517" s="7" t="str">
        <f t="array" ref="H517">IF(ISBLANK(E517), "", INDEX(Categories!$B:$B,MATCH(E517,Categories!$A:$A,0)))</f>
        <v/>
      </c>
      <c r="I517" s="7" t="str">
        <f t="array" ref="I517">IF(ISBLANK(F517), "", INDEX(Categories!$B:$B,MATCH(F517,Categories!$A:$A,0)))</f>
        <v/>
      </c>
      <c r="J517" s="4"/>
      <c r="K517" s="4"/>
      <c r="L517" s="4"/>
      <c r="M517" s="4"/>
      <c r="N517" s="4"/>
      <c r="O517" s="4"/>
      <c r="P517" s="4"/>
      <c r="Q517" s="4"/>
    </row>
    <row r="518">
      <c r="A518" s="5">
        <v>517.0</v>
      </c>
      <c r="B518" s="5" t="s">
        <v>735</v>
      </c>
      <c r="C518" s="5" t="s">
        <v>34</v>
      </c>
      <c r="D518" s="6">
        <f>IFERROR(__xludf.DUMMYFUNCTION("SPLIT(MID(C518,2,LEN(C518)-2), "","")"),228.0)</f>
        <v>228</v>
      </c>
      <c r="E518" s="7"/>
      <c r="F518" s="7"/>
      <c r="G518" s="2" t="str">
        <f t="array" ref="G518">IF(ISBLANK(D518), "", INDEX(Categories!$B:$B,MATCH(D518,Categories!$A:$A,0)))</f>
        <v>Restaurants</v>
      </c>
      <c r="H518" s="7" t="str">
        <f t="array" ref="H518">IF(ISBLANK(E518), "", INDEX(Categories!$B:$B,MATCH(E518,Categories!$A:$A,0)))</f>
        <v/>
      </c>
      <c r="I518" s="7" t="str">
        <f t="array" ref="I518">IF(ISBLANK(F518), "", INDEX(Categories!$B:$B,MATCH(F518,Categories!$A:$A,0)))</f>
        <v/>
      </c>
      <c r="J518" s="4"/>
      <c r="K518" s="4"/>
      <c r="L518" s="4"/>
      <c r="M518" s="4"/>
      <c r="N518" s="4"/>
      <c r="O518" s="4"/>
      <c r="P518" s="4"/>
      <c r="Q518" s="4"/>
    </row>
    <row r="519">
      <c r="A519" s="5">
        <v>518.0</v>
      </c>
      <c r="B519" s="5" t="s">
        <v>736</v>
      </c>
      <c r="C519" s="5" t="s">
        <v>497</v>
      </c>
      <c r="D519" s="6">
        <f>IFERROR(__xludf.DUMMYFUNCTION("SPLIT(MID(C519,2,LEN(C519)-2), "","")"),2348.0)</f>
        <v>2348</v>
      </c>
      <c r="E519" s="7"/>
      <c r="F519" s="7"/>
      <c r="G519" s="2" t="str">
        <f t="array" ref="G519">IF(ISBLANK(D519), "", INDEX(Categories!$B:$B,MATCH(D519,Categories!$A:$A,0)))</f>
        <v>Real Estate - Development</v>
      </c>
      <c r="H519" s="7" t="str">
        <f t="array" ref="H519">IF(ISBLANK(E519), "", INDEX(Categories!$B:$B,MATCH(E519,Categories!$A:$A,0)))</f>
        <v/>
      </c>
      <c r="I519" s="7" t="str">
        <f t="array" ref="I519">IF(ISBLANK(F519), "", INDEX(Categories!$B:$B,MATCH(F519,Categories!$A:$A,0)))</f>
        <v/>
      </c>
      <c r="J519" s="4"/>
      <c r="K519" s="4"/>
      <c r="L519" s="4"/>
      <c r="M519" s="4"/>
      <c r="N519" s="4"/>
      <c r="O519" s="4"/>
      <c r="P519" s="4"/>
      <c r="Q519" s="4"/>
    </row>
    <row r="520">
      <c r="A520" s="5">
        <v>519.0</v>
      </c>
      <c r="B520" s="5" t="s">
        <v>737</v>
      </c>
      <c r="C520" s="5" t="s">
        <v>497</v>
      </c>
      <c r="D520" s="6">
        <f>IFERROR(__xludf.DUMMYFUNCTION("SPLIT(MID(C520,2,LEN(C520)-2), "","")"),2348.0)</f>
        <v>2348</v>
      </c>
      <c r="E520" s="7"/>
      <c r="F520" s="7"/>
      <c r="G520" s="2" t="str">
        <f t="array" ref="G520">IF(ISBLANK(D520), "", INDEX(Categories!$B:$B,MATCH(D520,Categories!$A:$A,0)))</f>
        <v>Real Estate - Development</v>
      </c>
      <c r="H520" s="7" t="str">
        <f t="array" ref="H520">IF(ISBLANK(E520), "", INDEX(Categories!$B:$B,MATCH(E520,Categories!$A:$A,0)))</f>
        <v/>
      </c>
      <c r="I520" s="7" t="str">
        <f t="array" ref="I520">IF(ISBLANK(F520), "", INDEX(Categories!$B:$B,MATCH(F520,Categories!$A:$A,0)))</f>
        <v/>
      </c>
      <c r="J520" s="4"/>
      <c r="K520" s="4"/>
      <c r="L520" s="4"/>
      <c r="M520" s="4"/>
      <c r="N520" s="4"/>
      <c r="O520" s="4"/>
      <c r="P520" s="4"/>
      <c r="Q520" s="4"/>
    </row>
    <row r="521">
      <c r="A521" s="5">
        <v>520.0</v>
      </c>
      <c r="B521" s="5" t="s">
        <v>738</v>
      </c>
      <c r="C521" s="5" t="s">
        <v>730</v>
      </c>
      <c r="D521" s="6">
        <f>IFERROR(__xludf.DUMMYFUNCTION("SPLIT(MID(C521,2,LEN(C521)-2), "","")"),2765.0)</f>
        <v>2765</v>
      </c>
      <c r="E521" s="7"/>
      <c r="F521" s="7"/>
      <c r="G521" s="2" t="str">
        <f t="array" ref="G521">IF(ISBLANK(D521), "", INDEX(Categories!$B:$B,MATCH(D521,Categories!$A:$A,0)))</f>
        <v>Miscellaneous Business Services</v>
      </c>
      <c r="H521" s="7" t="str">
        <f t="array" ref="H521">IF(ISBLANK(E521), "", INDEX(Categories!$B:$B,MATCH(E521,Categories!$A:$A,0)))</f>
        <v/>
      </c>
      <c r="I521" s="7" t="str">
        <f t="array" ref="I521">IF(ISBLANK(F521), "", INDEX(Categories!$B:$B,MATCH(F521,Categories!$A:$A,0)))</f>
        <v/>
      </c>
      <c r="J521" s="4"/>
      <c r="K521" s="4"/>
      <c r="L521" s="4"/>
      <c r="M521" s="4"/>
      <c r="N521" s="4"/>
      <c r="O521" s="4"/>
      <c r="P521" s="4"/>
      <c r="Q521" s="4"/>
    </row>
    <row r="522">
      <c r="A522" s="5">
        <v>521.0</v>
      </c>
      <c r="B522" s="5" t="s">
        <v>739</v>
      </c>
      <c r="C522" s="5" t="s">
        <v>740</v>
      </c>
      <c r="D522" s="6">
        <f>IFERROR(__xludf.DUMMYFUNCTION("SPLIT(MID(C522,2,LEN(C522)-2), "","")"),1433.0)</f>
        <v>1433</v>
      </c>
      <c r="E522" s="7"/>
      <c r="F522" s="7"/>
      <c r="G522" s="2" t="str">
        <f t="array" ref="G522">IF(ISBLANK(D522), "", INDEX(Categories!$B:$B,MATCH(D522,Categories!$A:$A,0)))</f>
        <v>Hazardous Waste Control &amp; Management</v>
      </c>
      <c r="H522" s="7" t="str">
        <f t="array" ref="H522">IF(ISBLANK(E522), "", INDEX(Categories!$B:$B,MATCH(E522,Categories!$A:$A,0)))</f>
        <v/>
      </c>
      <c r="I522" s="7" t="str">
        <f t="array" ref="I522">IF(ISBLANK(F522), "", INDEX(Categories!$B:$B,MATCH(F522,Categories!$A:$A,0)))</f>
        <v/>
      </c>
      <c r="J522" s="4"/>
      <c r="K522" s="4"/>
      <c r="L522" s="4"/>
      <c r="M522" s="4"/>
      <c r="N522" s="4"/>
      <c r="O522" s="4"/>
      <c r="P522" s="4"/>
      <c r="Q522" s="4"/>
    </row>
    <row r="523">
      <c r="A523" s="5">
        <v>522.0</v>
      </c>
      <c r="B523" s="5" t="s">
        <v>741</v>
      </c>
      <c r="C523" s="5" t="s">
        <v>170</v>
      </c>
      <c r="D523" s="6">
        <f>IFERROR(__xludf.DUMMYFUNCTION("SPLIT(MID(C523,2,LEN(C523)-2), "","")"),189.0)</f>
        <v>189</v>
      </c>
      <c r="E523" s="7"/>
      <c r="F523" s="7"/>
      <c r="G523" s="2" t="str">
        <f t="array" ref="G523">IF(ISBLANK(D523), "", INDEX(Categories!$B:$B,MATCH(D523,Categories!$A:$A,0)))</f>
        <v>Pharmacies</v>
      </c>
      <c r="H523" s="7" t="str">
        <f t="array" ref="H523">IF(ISBLANK(E523), "", INDEX(Categories!$B:$B,MATCH(E523,Categories!$A:$A,0)))</f>
        <v/>
      </c>
      <c r="I523" s="7" t="str">
        <f t="array" ref="I523">IF(ISBLANK(F523), "", INDEX(Categories!$B:$B,MATCH(F523,Categories!$A:$A,0)))</f>
        <v/>
      </c>
      <c r="J523" s="4"/>
      <c r="K523" s="4"/>
      <c r="L523" s="4"/>
      <c r="M523" s="4"/>
      <c r="N523" s="4"/>
      <c r="O523" s="4"/>
      <c r="P523" s="4"/>
      <c r="Q523" s="4"/>
    </row>
    <row r="524">
      <c r="A524" s="5">
        <v>523.0</v>
      </c>
      <c r="B524" s="5" t="s">
        <v>742</v>
      </c>
      <c r="C524" s="5" t="s">
        <v>725</v>
      </c>
      <c r="D524" s="6">
        <f>IFERROR(__xludf.DUMMYFUNCTION("SPLIT(MID(C524,2,LEN(C524)-2), "","")"),863.0)</f>
        <v>863</v>
      </c>
      <c r="E524" s="7"/>
      <c r="F524" s="7"/>
      <c r="G524" s="2" t="str">
        <f t="array" ref="G524">IF(ISBLANK(D524), "", INDEX(Categories!$B:$B,MATCH(D524,Categories!$A:$A,0)))</f>
        <v>Compact Discs Cassette Tapes &amp; Records</v>
      </c>
      <c r="H524" s="7" t="str">
        <f t="array" ref="H524">IF(ISBLANK(E524), "", INDEX(Categories!$B:$B,MATCH(E524,Categories!$A:$A,0)))</f>
        <v/>
      </c>
      <c r="I524" s="7" t="str">
        <f t="array" ref="I524">IF(ISBLANK(F524), "", INDEX(Categories!$B:$B,MATCH(F524,Categories!$A:$A,0)))</f>
        <v/>
      </c>
      <c r="J524" s="4"/>
      <c r="K524" s="4"/>
      <c r="L524" s="4"/>
      <c r="M524" s="4"/>
      <c r="N524" s="4"/>
      <c r="O524" s="4"/>
      <c r="P524" s="4"/>
      <c r="Q524" s="4"/>
    </row>
    <row r="525">
      <c r="A525" s="5">
        <v>524.0</v>
      </c>
      <c r="B525" s="5" t="s">
        <v>743</v>
      </c>
      <c r="C525" s="5" t="s">
        <v>107</v>
      </c>
      <c r="D525" s="6">
        <f>IFERROR(__xludf.DUMMYFUNCTION("SPLIT(MID(C525,2,LEN(C525)-2), "","")"),760.0)</f>
        <v>760</v>
      </c>
      <c r="E525" s="7"/>
      <c r="F525" s="7"/>
      <c r="G525" s="2" t="str">
        <f t="array" ref="G525">IF(ISBLANK(D525), "", INDEX(Categories!$B:$B,MATCH(D525,Categories!$A:$A,0)))</f>
        <v>Discount Stores</v>
      </c>
      <c r="H525" s="7" t="str">
        <f t="array" ref="H525">IF(ISBLANK(E525), "", INDEX(Categories!$B:$B,MATCH(E525,Categories!$A:$A,0)))</f>
        <v/>
      </c>
      <c r="I525" s="7" t="str">
        <f t="array" ref="I525">IF(ISBLANK(F525), "", INDEX(Categories!$B:$B,MATCH(F525,Categories!$A:$A,0)))</f>
        <v/>
      </c>
      <c r="J525" s="4"/>
      <c r="K525" s="4"/>
      <c r="L525" s="4"/>
      <c r="M525" s="4"/>
      <c r="N525" s="4"/>
      <c r="O525" s="4"/>
      <c r="P525" s="4"/>
      <c r="Q525" s="4"/>
    </row>
    <row r="526">
      <c r="A526" s="5">
        <v>525.0</v>
      </c>
      <c r="B526" s="5" t="s">
        <v>744</v>
      </c>
      <c r="C526" s="5" t="s">
        <v>102</v>
      </c>
      <c r="D526" s="6">
        <f>IFERROR(__xludf.DUMMYFUNCTION("SPLIT(MID(C526,2,LEN(C526)-2), "","")"),298.0)</f>
        <v>298</v>
      </c>
      <c r="E526" s="7"/>
      <c r="F526" s="7"/>
      <c r="G526" s="2" t="str">
        <f t="array" ref="G526">IF(ISBLANK(D526), "", INDEX(Categories!$B:$B,MATCH(D526,Categories!$A:$A,0)))</f>
        <v>Financial Services</v>
      </c>
      <c r="H526" s="7" t="str">
        <f t="array" ref="H526">IF(ISBLANK(E526), "", INDEX(Categories!$B:$B,MATCH(E526,Categories!$A:$A,0)))</f>
        <v/>
      </c>
      <c r="I526" s="7" t="str">
        <f t="array" ref="I526">IF(ISBLANK(F526), "", INDEX(Categories!$B:$B,MATCH(F526,Categories!$A:$A,0)))</f>
        <v/>
      </c>
      <c r="J526" s="4"/>
      <c r="K526" s="4"/>
      <c r="L526" s="4"/>
      <c r="M526" s="4"/>
      <c r="N526" s="4"/>
      <c r="O526" s="4"/>
      <c r="P526" s="4"/>
      <c r="Q526" s="4"/>
    </row>
    <row r="527">
      <c r="A527" s="5">
        <v>526.0</v>
      </c>
      <c r="B527" s="5" t="s">
        <v>745</v>
      </c>
      <c r="C527" s="5" t="s">
        <v>18</v>
      </c>
      <c r="D527" s="6">
        <f>IFERROR(__xludf.DUMMYFUNCTION("SPLIT(MID(C527,2,LEN(C527)-2), "","")"),121.0)</f>
        <v>121</v>
      </c>
      <c r="E527" s="7"/>
      <c r="F527" s="7"/>
      <c r="G527" s="2" t="str">
        <f t="array" ref="G527">IF(ISBLANK(D527), "", INDEX(Categories!$B:$B,MATCH(D527,Categories!$A:$A,0)))</f>
        <v>Insurance</v>
      </c>
      <c r="H527" s="7" t="str">
        <f t="array" ref="H527">IF(ISBLANK(E527), "", INDEX(Categories!$B:$B,MATCH(E527,Categories!$A:$A,0)))</f>
        <v/>
      </c>
      <c r="I527" s="7" t="str">
        <f t="array" ref="I527">IF(ISBLANK(F527), "", INDEX(Categories!$B:$B,MATCH(F527,Categories!$A:$A,0)))</f>
        <v/>
      </c>
      <c r="J527" s="4"/>
      <c r="K527" s="4"/>
      <c r="L527" s="4"/>
      <c r="M527" s="4"/>
      <c r="N527" s="4"/>
      <c r="O527" s="4"/>
      <c r="P527" s="4"/>
      <c r="Q527" s="4"/>
    </row>
    <row r="528">
      <c r="A528" s="5">
        <v>527.0</v>
      </c>
      <c r="B528" s="5" t="s">
        <v>746</v>
      </c>
      <c r="C528" s="5" t="s">
        <v>58</v>
      </c>
      <c r="D528" s="6">
        <f>IFERROR(__xludf.DUMMYFUNCTION("SPLIT(MID(C528,2,LEN(C528)-2), "","")"),1170.0)</f>
        <v>1170</v>
      </c>
      <c r="E528" s="7"/>
      <c r="F528" s="7"/>
      <c r="G528" s="2" t="str">
        <f t="array" ref="G528">IF(ISBLANK(D528), "", INDEX(Categories!$B:$B,MATCH(D528,Categories!$A:$A,0)))</f>
        <v>Gasoline Retail</v>
      </c>
      <c r="H528" s="7" t="str">
        <f t="array" ref="H528">IF(ISBLANK(E528), "", INDEX(Categories!$B:$B,MATCH(E528,Categories!$A:$A,0)))</f>
        <v/>
      </c>
      <c r="I528" s="7" t="str">
        <f t="array" ref="I528">IF(ISBLANK(F528), "", INDEX(Categories!$B:$B,MATCH(F528,Categories!$A:$A,0)))</f>
        <v/>
      </c>
      <c r="J528" s="4"/>
      <c r="K528" s="4"/>
      <c r="L528" s="4"/>
      <c r="M528" s="4"/>
      <c r="N528" s="4"/>
      <c r="O528" s="4"/>
      <c r="P528" s="4"/>
      <c r="Q528" s="4"/>
    </row>
    <row r="529">
      <c r="A529" s="5">
        <v>528.0</v>
      </c>
      <c r="B529" s="5" t="s">
        <v>747</v>
      </c>
      <c r="C529" s="5" t="s">
        <v>748</v>
      </c>
      <c r="D529" s="6">
        <f>IFERROR(__xludf.DUMMYFUNCTION("SPLIT(MID(C529,2,LEN(C529)-2), "","")"),2382.0)</f>
        <v>2382</v>
      </c>
      <c r="E529" s="7"/>
      <c r="F529" s="7"/>
      <c r="G529" s="2" t="str">
        <f t="array" ref="G529">IF(ISBLANK(D529), "", INDEX(Categories!$B:$B,MATCH(D529,Categories!$A:$A,0)))</f>
        <v>Signs</v>
      </c>
      <c r="H529" s="7" t="str">
        <f t="array" ref="H529">IF(ISBLANK(E529), "", INDEX(Categories!$B:$B,MATCH(E529,Categories!$A:$A,0)))</f>
        <v/>
      </c>
      <c r="I529" s="7" t="str">
        <f t="array" ref="I529">IF(ISBLANK(F529), "", INDEX(Categories!$B:$B,MATCH(F529,Categories!$A:$A,0)))</f>
        <v/>
      </c>
      <c r="J529" s="4"/>
      <c r="K529" s="4"/>
      <c r="L529" s="4"/>
      <c r="M529" s="4"/>
      <c r="N529" s="4"/>
      <c r="O529" s="4"/>
      <c r="P529" s="4"/>
      <c r="Q529" s="4"/>
    </row>
    <row r="530">
      <c r="A530" s="5">
        <v>529.0</v>
      </c>
      <c r="B530" s="5" t="s">
        <v>749</v>
      </c>
      <c r="C530" s="5" t="s">
        <v>115</v>
      </c>
      <c r="D530" s="6">
        <f>IFERROR(__xludf.DUMMYFUNCTION("SPLIT(MID(C530,2,LEN(C530)-2), "","")"),1272.0)</f>
        <v>1272</v>
      </c>
      <c r="E530" s="7"/>
      <c r="F530" s="7"/>
      <c r="G530" s="2" t="str">
        <f t="array" ref="G530">IF(ISBLANK(D530), "", INDEX(Categories!$B:$B,MATCH(D530,Categories!$A:$A,0)))</f>
        <v>Womens Apparel</v>
      </c>
      <c r="H530" s="7" t="str">
        <f t="array" ref="H530">IF(ISBLANK(E530), "", INDEX(Categories!$B:$B,MATCH(E530,Categories!$A:$A,0)))</f>
        <v/>
      </c>
      <c r="I530" s="7" t="str">
        <f t="array" ref="I530">IF(ISBLANK(F530), "", INDEX(Categories!$B:$B,MATCH(F530,Categories!$A:$A,0)))</f>
        <v/>
      </c>
      <c r="J530" s="4"/>
      <c r="K530" s="4"/>
      <c r="L530" s="4"/>
      <c r="M530" s="4"/>
      <c r="N530" s="4"/>
      <c r="O530" s="4"/>
      <c r="P530" s="4"/>
      <c r="Q530" s="4"/>
    </row>
    <row r="531">
      <c r="A531" s="5">
        <v>530.0</v>
      </c>
      <c r="B531" s="5" t="s">
        <v>750</v>
      </c>
      <c r="C531" s="5" t="s">
        <v>751</v>
      </c>
      <c r="D531" s="6">
        <f>IFERROR(__xludf.DUMMYFUNCTION("SPLIT(MID(C531,2,LEN(C531)-2), "","")"),2863.0)</f>
        <v>2863</v>
      </c>
      <c r="E531" s="7"/>
      <c r="F531" s="7"/>
      <c r="G531" s="2" t="str">
        <f t="array" ref="G531">IF(ISBLANK(D531), "", INDEX(Categories!$B:$B,MATCH(D531,Categories!$A:$A,0)))</f>
        <v>Economic Development Organizations</v>
      </c>
      <c r="H531" s="7" t="str">
        <f t="array" ref="H531">IF(ISBLANK(E531), "", INDEX(Categories!$B:$B,MATCH(E531,Categories!$A:$A,0)))</f>
        <v/>
      </c>
      <c r="I531" s="7" t="str">
        <f t="array" ref="I531">IF(ISBLANK(F531), "", INDEX(Categories!$B:$B,MATCH(F531,Categories!$A:$A,0)))</f>
        <v/>
      </c>
      <c r="J531" s="4"/>
      <c r="K531" s="4"/>
      <c r="L531" s="4"/>
      <c r="M531" s="4"/>
      <c r="N531" s="4"/>
      <c r="O531" s="4"/>
      <c r="P531" s="4"/>
      <c r="Q531" s="4"/>
    </row>
    <row r="532">
      <c r="A532" s="5">
        <v>531.0</v>
      </c>
      <c r="B532" s="5" t="s">
        <v>752</v>
      </c>
      <c r="C532" s="5" t="s">
        <v>104</v>
      </c>
      <c r="D532" s="6">
        <f>IFERROR(__xludf.DUMMYFUNCTION("SPLIT(MID(C532,2,LEN(C532)-2), "","")"),1327.0)</f>
        <v>1327</v>
      </c>
      <c r="E532" s="7"/>
      <c r="F532" s="7"/>
      <c r="G532" s="2" t="str">
        <f t="array" ref="G532">IF(ISBLANK(D532), "", INDEX(Categories!$B:$B,MATCH(D532,Categories!$A:$A,0)))</f>
        <v>Investments Securities</v>
      </c>
      <c r="H532" s="7" t="str">
        <f t="array" ref="H532">IF(ISBLANK(E532), "", INDEX(Categories!$B:$B,MATCH(E532,Categories!$A:$A,0)))</f>
        <v/>
      </c>
      <c r="I532" s="7" t="str">
        <f t="array" ref="I532">IF(ISBLANK(F532), "", INDEX(Categories!$B:$B,MATCH(F532,Categories!$A:$A,0)))</f>
        <v/>
      </c>
      <c r="J532" s="4"/>
      <c r="K532" s="4"/>
      <c r="L532" s="4"/>
      <c r="M532" s="4"/>
      <c r="N532" s="4"/>
      <c r="O532" s="4"/>
      <c r="P532" s="4"/>
      <c r="Q532" s="4"/>
    </row>
    <row r="533">
      <c r="A533" s="5">
        <v>532.0</v>
      </c>
      <c r="B533" s="5" t="s">
        <v>753</v>
      </c>
      <c r="C533" s="5" t="s">
        <v>346</v>
      </c>
      <c r="D533" s="6">
        <f>IFERROR(__xludf.DUMMYFUNCTION("SPLIT(MID(C533,2,LEN(C533)-2), "","")"),610.0)</f>
        <v>610</v>
      </c>
      <c r="E533" s="7"/>
      <c r="F533" s="7"/>
      <c r="G533" s="2" t="str">
        <f t="array" ref="G533">IF(ISBLANK(D533), "", INDEX(Categories!$B:$B,MATCH(D533,Categories!$A:$A,0)))</f>
        <v>Supermarkets &amp; Super Stores</v>
      </c>
      <c r="H533" s="7" t="str">
        <f t="array" ref="H533">IF(ISBLANK(E533), "", INDEX(Categories!$B:$B,MATCH(E533,Categories!$A:$A,0)))</f>
        <v/>
      </c>
      <c r="I533" s="7" t="str">
        <f t="array" ref="I533">IF(ISBLANK(F533), "", INDEX(Categories!$B:$B,MATCH(F533,Categories!$A:$A,0)))</f>
        <v/>
      </c>
      <c r="J533" s="4"/>
      <c r="K533" s="4"/>
      <c r="L533" s="4"/>
      <c r="M533" s="4"/>
      <c r="N533" s="4"/>
      <c r="O533" s="4"/>
      <c r="P533" s="4"/>
      <c r="Q533" s="4"/>
    </row>
    <row r="534">
      <c r="A534" s="5">
        <v>533.0</v>
      </c>
      <c r="B534" s="5" t="s">
        <v>754</v>
      </c>
      <c r="C534" s="5" t="s">
        <v>322</v>
      </c>
      <c r="D534" s="6">
        <f>IFERROR(__xludf.DUMMYFUNCTION("SPLIT(MID(C534,2,LEN(C534)-2), "","")"),561.0)</f>
        <v>561</v>
      </c>
      <c r="E534" s="7"/>
      <c r="F534" s="7"/>
      <c r="G534" s="2" t="str">
        <f t="array" ref="G534">IF(ISBLANK(D534), "", INDEX(Categories!$B:$B,MATCH(D534,Categories!$A:$A,0)))</f>
        <v>Employment Placement Services</v>
      </c>
      <c r="H534" s="7" t="str">
        <f t="array" ref="H534">IF(ISBLANK(E534), "", INDEX(Categories!$B:$B,MATCH(E534,Categories!$A:$A,0)))</f>
        <v/>
      </c>
      <c r="I534" s="7" t="str">
        <f t="array" ref="I534">IF(ISBLANK(F534), "", INDEX(Categories!$B:$B,MATCH(F534,Categories!$A:$A,0)))</f>
        <v/>
      </c>
      <c r="J534" s="4"/>
      <c r="K534" s="4"/>
      <c r="L534" s="4"/>
      <c r="M534" s="4"/>
      <c r="N534" s="4"/>
      <c r="O534" s="4"/>
      <c r="P534" s="4"/>
      <c r="Q534" s="4"/>
    </row>
    <row r="535">
      <c r="A535" s="5">
        <v>534.0</v>
      </c>
      <c r="B535" s="5" t="s">
        <v>755</v>
      </c>
      <c r="C535" s="5" t="s">
        <v>756</v>
      </c>
      <c r="D535" s="6">
        <f>IFERROR(__xludf.DUMMYFUNCTION("SPLIT(MID(C535,2,LEN(C535)-2), "","")"),721.0)</f>
        <v>721</v>
      </c>
      <c r="E535" s="7"/>
      <c r="F535" s="7"/>
      <c r="G535" s="2" t="str">
        <f t="array" ref="G535">IF(ISBLANK(D535), "", INDEX(Categories!$B:$B,MATCH(D535,Categories!$A:$A,0)))</f>
        <v>Computer Software &amp; Services</v>
      </c>
      <c r="H535" s="7" t="str">
        <f t="array" ref="H535">IF(ISBLANK(E535), "", INDEX(Categories!$B:$B,MATCH(E535,Categories!$A:$A,0)))</f>
        <v/>
      </c>
      <c r="I535" s="7" t="str">
        <f t="array" ref="I535">IF(ISBLANK(F535), "", INDEX(Categories!$B:$B,MATCH(F535,Categories!$A:$A,0)))</f>
        <v/>
      </c>
      <c r="J535" s="4"/>
      <c r="K535" s="4"/>
      <c r="L535" s="4"/>
      <c r="M535" s="4"/>
      <c r="N535" s="4"/>
      <c r="O535" s="4"/>
      <c r="P535" s="4"/>
      <c r="Q535" s="4"/>
    </row>
    <row r="536">
      <c r="A536" s="5">
        <v>535.0</v>
      </c>
      <c r="B536" s="5" t="s">
        <v>757</v>
      </c>
      <c r="C536" s="5" t="s">
        <v>253</v>
      </c>
      <c r="D536" s="6">
        <f>IFERROR(__xludf.DUMMYFUNCTION("SPLIT(MID(C536,2,LEN(C536)-2), "","")"),686.0)</f>
        <v>686</v>
      </c>
      <c r="E536" s="7"/>
      <c r="F536" s="7"/>
      <c r="G536" s="2" t="str">
        <f t="array" ref="G536">IF(ISBLANK(D536), "", INDEX(Categories!$B:$B,MATCH(D536,Categories!$A:$A,0)))</f>
        <v>Gift Shops</v>
      </c>
      <c r="H536" s="7" t="str">
        <f t="array" ref="H536">IF(ISBLANK(E536), "", INDEX(Categories!$B:$B,MATCH(E536,Categories!$A:$A,0)))</f>
        <v/>
      </c>
      <c r="I536" s="7" t="str">
        <f t="array" ref="I536">IF(ISBLANK(F536), "", INDEX(Categories!$B:$B,MATCH(F536,Categories!$A:$A,0)))</f>
        <v/>
      </c>
      <c r="J536" s="4"/>
      <c r="K536" s="4"/>
      <c r="L536" s="4"/>
      <c r="M536" s="4"/>
      <c r="N536" s="4"/>
      <c r="O536" s="4"/>
      <c r="P536" s="4"/>
      <c r="Q536" s="4"/>
    </row>
    <row r="537">
      <c r="A537" s="5">
        <v>536.0</v>
      </c>
      <c r="B537" s="5" t="s">
        <v>758</v>
      </c>
      <c r="C537" s="5" t="s">
        <v>65</v>
      </c>
      <c r="D537" s="6">
        <f>IFERROR(__xludf.DUMMYFUNCTION("SPLIT(MID(C537,2,LEN(C537)-2), "","")"),983.0)</f>
        <v>983</v>
      </c>
      <c r="E537" s="7"/>
      <c r="F537" s="7"/>
      <c r="G537" s="2" t="str">
        <f t="array" ref="G537">IF(ISBLANK(D537), "", INDEX(Categories!$B:$B,MATCH(D537,Categories!$A:$A,0)))</f>
        <v>Mobile Telephone Service</v>
      </c>
      <c r="H537" s="7" t="str">
        <f t="array" ref="H537">IF(ISBLANK(E537), "", INDEX(Categories!$B:$B,MATCH(E537,Categories!$A:$A,0)))</f>
        <v/>
      </c>
      <c r="I537" s="7" t="str">
        <f t="array" ref="I537">IF(ISBLANK(F537), "", INDEX(Categories!$B:$B,MATCH(F537,Categories!$A:$A,0)))</f>
        <v/>
      </c>
      <c r="J537" s="4"/>
      <c r="K537" s="4"/>
      <c r="L537" s="4"/>
      <c r="M537" s="4"/>
      <c r="N537" s="4"/>
      <c r="O537" s="4"/>
      <c r="P537" s="4"/>
      <c r="Q537" s="4"/>
    </row>
    <row r="538">
      <c r="A538" s="5">
        <v>537.0</v>
      </c>
      <c r="B538" s="5" t="s">
        <v>759</v>
      </c>
      <c r="C538" s="5" t="s">
        <v>760</v>
      </c>
      <c r="D538" s="6">
        <f>IFERROR(__xludf.DUMMYFUNCTION("SPLIT(MID(C538,2,LEN(C538)-2), "","")"),1246.0)</f>
        <v>1246</v>
      </c>
      <c r="E538" s="7"/>
      <c r="F538" s="7"/>
      <c r="G538" s="2" t="str">
        <f t="array" ref="G538">IF(ISBLANK(D538), "", INDEX(Categories!$B:$B,MATCH(D538,Categories!$A:$A,0)))</f>
        <v>Clothing</v>
      </c>
      <c r="H538" s="7" t="str">
        <f t="array" ref="H538">IF(ISBLANK(E538), "", INDEX(Categories!$B:$B,MATCH(E538,Categories!$A:$A,0)))</f>
        <v/>
      </c>
      <c r="I538" s="7" t="str">
        <f t="array" ref="I538">IF(ISBLANK(F538), "", INDEX(Categories!$B:$B,MATCH(F538,Categories!$A:$A,0)))</f>
        <v/>
      </c>
      <c r="J538" s="4"/>
      <c r="K538" s="4"/>
      <c r="L538" s="4"/>
      <c r="M538" s="4"/>
      <c r="N538" s="4"/>
      <c r="O538" s="4"/>
      <c r="P538" s="4"/>
      <c r="Q538" s="4"/>
    </row>
    <row r="539">
      <c r="A539" s="5">
        <v>538.0</v>
      </c>
      <c r="B539" s="5" t="s">
        <v>761</v>
      </c>
      <c r="C539" s="5" t="s">
        <v>161</v>
      </c>
      <c r="D539" s="6">
        <f>IFERROR(__xludf.DUMMYFUNCTION("SPLIT(MID(C539,2,LEN(C539)-2), "","")"),1835.0)</f>
        <v>1835</v>
      </c>
      <c r="E539" s="7"/>
      <c r="F539" s="7"/>
      <c r="G539" s="2" t="str">
        <f t="array" ref="G539">IF(ISBLANK(D539), "", INDEX(Categories!$B:$B,MATCH(D539,Categories!$A:$A,0)))</f>
        <v>Optical Goods</v>
      </c>
      <c r="H539" s="7" t="str">
        <f t="array" ref="H539">IF(ISBLANK(E539), "", INDEX(Categories!$B:$B,MATCH(E539,Categories!$A:$A,0)))</f>
        <v/>
      </c>
      <c r="I539" s="7" t="str">
        <f t="array" ref="I539">IF(ISBLANK(F539), "", INDEX(Categories!$B:$B,MATCH(F539,Categories!$A:$A,0)))</f>
        <v/>
      </c>
      <c r="J539" s="4"/>
      <c r="K539" s="4"/>
      <c r="L539" s="4"/>
      <c r="M539" s="4"/>
      <c r="N539" s="4"/>
      <c r="O539" s="4"/>
      <c r="P539" s="4"/>
      <c r="Q539" s="4"/>
    </row>
    <row r="540">
      <c r="A540" s="5">
        <v>539.0</v>
      </c>
      <c r="B540" s="5" t="s">
        <v>762</v>
      </c>
      <c r="C540" s="5" t="s">
        <v>553</v>
      </c>
      <c r="D540" s="6">
        <f>IFERROR(__xludf.DUMMYFUNCTION("SPLIT(MID(C540,2,LEN(C540)-2), "","")"),739.0)</f>
        <v>739</v>
      </c>
      <c r="E540" s="7"/>
      <c r="F540" s="7"/>
      <c r="G540" s="2" t="str">
        <f t="array" ref="G540">IF(ISBLANK(D540), "", INDEX(Categories!$B:$B,MATCH(D540,Categories!$A:$A,0)))</f>
        <v>Shoes &amp; Shoe Repairs</v>
      </c>
      <c r="H540" s="7" t="str">
        <f t="array" ref="H540">IF(ISBLANK(E540), "", INDEX(Categories!$B:$B,MATCH(E540,Categories!$A:$A,0)))</f>
        <v/>
      </c>
      <c r="I540" s="7" t="str">
        <f t="array" ref="I540">IF(ISBLANK(F540), "", INDEX(Categories!$B:$B,MATCH(F540,Categories!$A:$A,0)))</f>
        <v/>
      </c>
      <c r="J540" s="4"/>
      <c r="K540" s="4"/>
      <c r="L540" s="4"/>
      <c r="M540" s="4"/>
      <c r="N540" s="4"/>
      <c r="O540" s="4"/>
      <c r="P540" s="4"/>
      <c r="Q540" s="4"/>
    </row>
    <row r="541">
      <c r="A541" s="5">
        <v>540.0</v>
      </c>
      <c r="B541" s="5" t="s">
        <v>763</v>
      </c>
      <c r="C541" s="5" t="s">
        <v>303</v>
      </c>
      <c r="D541" s="6">
        <f>IFERROR(__xludf.DUMMYFUNCTION("SPLIT(MID(C541,2,LEN(C541)-2), "","")"),1241.0)</f>
        <v>1241</v>
      </c>
      <c r="E541" s="7"/>
      <c r="F541" s="7"/>
      <c r="G541" s="2" t="str">
        <f t="array" ref="G541">IF(ISBLANK(D541), "", INDEX(Categories!$B:$B,MATCH(D541,Categories!$A:$A,0)))</f>
        <v>Clothing &amp; Accessories</v>
      </c>
      <c r="H541" s="7" t="str">
        <f t="array" ref="H541">IF(ISBLANK(E541), "", INDEX(Categories!$B:$B,MATCH(E541,Categories!$A:$A,0)))</f>
        <v/>
      </c>
      <c r="I541" s="7" t="str">
        <f t="array" ref="I541">IF(ISBLANK(F541), "", INDEX(Categories!$B:$B,MATCH(F541,Categories!$A:$A,0)))</f>
        <v/>
      </c>
      <c r="J541" s="4"/>
      <c r="K541" s="4"/>
      <c r="L541" s="4"/>
      <c r="M541" s="4"/>
      <c r="N541" s="4"/>
      <c r="O541" s="4"/>
      <c r="P541" s="4"/>
      <c r="Q541" s="4"/>
    </row>
    <row r="542">
      <c r="A542" s="5">
        <v>541.0</v>
      </c>
      <c r="B542" s="5" t="s">
        <v>764</v>
      </c>
      <c r="C542" s="5" t="s">
        <v>104</v>
      </c>
      <c r="D542" s="6">
        <f>IFERROR(__xludf.DUMMYFUNCTION("SPLIT(MID(C542,2,LEN(C542)-2), "","")"),1327.0)</f>
        <v>1327</v>
      </c>
      <c r="E542" s="7"/>
      <c r="F542" s="7"/>
      <c r="G542" s="2" t="str">
        <f t="array" ref="G542">IF(ISBLANK(D542), "", INDEX(Categories!$B:$B,MATCH(D542,Categories!$A:$A,0)))</f>
        <v>Investments Securities</v>
      </c>
      <c r="H542" s="7" t="str">
        <f t="array" ref="H542">IF(ISBLANK(E542), "", INDEX(Categories!$B:$B,MATCH(E542,Categories!$A:$A,0)))</f>
        <v/>
      </c>
      <c r="I542" s="7" t="str">
        <f t="array" ref="I542">IF(ISBLANK(F542), "", INDEX(Categories!$B:$B,MATCH(F542,Categories!$A:$A,0)))</f>
        <v/>
      </c>
      <c r="J542" s="4"/>
      <c r="K542" s="4"/>
      <c r="L542" s="4"/>
      <c r="M542" s="4"/>
      <c r="N542" s="4"/>
      <c r="O542" s="4"/>
      <c r="P542" s="4"/>
      <c r="Q542" s="4"/>
    </row>
    <row r="543">
      <c r="A543" s="5">
        <v>542.0</v>
      </c>
      <c r="B543" s="5" t="s">
        <v>765</v>
      </c>
      <c r="C543" s="5" t="s">
        <v>55</v>
      </c>
      <c r="D543" s="6">
        <f>IFERROR(__xludf.DUMMYFUNCTION("SPLIT(MID(C543,2,LEN(C543)-2), "","")"),1420.0)</f>
        <v>1420</v>
      </c>
      <c r="E543" s="7"/>
      <c r="F543" s="7"/>
      <c r="G543" s="2" t="str">
        <f t="array" ref="G543">IF(ISBLANK(D543), "", INDEX(Categories!$B:$B,MATCH(D543,Categories!$A:$A,0)))</f>
        <v>Video Tapes &amp; Discs Sales &amp; Rentals</v>
      </c>
      <c r="H543" s="7" t="str">
        <f t="array" ref="H543">IF(ISBLANK(E543), "", INDEX(Categories!$B:$B,MATCH(E543,Categories!$A:$A,0)))</f>
        <v/>
      </c>
      <c r="I543" s="7" t="str">
        <f t="array" ref="I543">IF(ISBLANK(F543), "", INDEX(Categories!$B:$B,MATCH(F543,Categories!$A:$A,0)))</f>
        <v/>
      </c>
      <c r="J543" s="4"/>
      <c r="K543" s="4"/>
      <c r="L543" s="4"/>
      <c r="M543" s="4"/>
      <c r="N543" s="4"/>
      <c r="O543" s="4"/>
      <c r="P543" s="4"/>
      <c r="Q543" s="4"/>
    </row>
    <row r="544">
      <c r="A544" s="5">
        <v>543.0</v>
      </c>
      <c r="B544" s="5" t="s">
        <v>766</v>
      </c>
      <c r="C544" s="5" t="s">
        <v>69</v>
      </c>
      <c r="D544" s="6">
        <f>IFERROR(__xludf.DUMMYFUNCTION("SPLIT(MID(C544,2,LEN(C544)-2), "","")"),293.0)</f>
        <v>293</v>
      </c>
      <c r="E544" s="7"/>
      <c r="F544" s="7"/>
      <c r="G544" s="2" t="str">
        <f t="array" ref="G544">IF(ISBLANK(D544), "", INDEX(Categories!$B:$B,MATCH(D544,Categories!$A:$A,0)))</f>
        <v>Banks Commercial</v>
      </c>
      <c r="H544" s="7" t="str">
        <f t="array" ref="H544">IF(ISBLANK(E544), "", INDEX(Categories!$B:$B,MATCH(E544,Categories!$A:$A,0)))</f>
        <v/>
      </c>
      <c r="I544" s="7" t="str">
        <f t="array" ref="I544">IF(ISBLANK(F544), "", INDEX(Categories!$B:$B,MATCH(F544,Categories!$A:$A,0)))</f>
        <v/>
      </c>
      <c r="J544" s="4"/>
      <c r="K544" s="4"/>
      <c r="L544" s="4"/>
      <c r="M544" s="4"/>
      <c r="N544" s="4"/>
      <c r="O544" s="4"/>
      <c r="P544" s="4"/>
      <c r="Q544" s="4"/>
    </row>
    <row r="545">
      <c r="A545" s="5">
        <v>544.0</v>
      </c>
      <c r="B545" s="5" t="s">
        <v>767</v>
      </c>
      <c r="C545" s="5" t="s">
        <v>733</v>
      </c>
      <c r="D545" s="6">
        <f>IFERROR(__xludf.DUMMYFUNCTION("SPLIT(MID(C545,2,LEN(C545)-2), "","")"),576.0)</f>
        <v>576</v>
      </c>
      <c r="E545" s="7"/>
      <c r="F545" s="7"/>
      <c r="G545" s="2" t="str">
        <f t="array" ref="G545">IF(ISBLANK(D545), "", INDEX(Categories!$B:$B,MATCH(D545,Categories!$A:$A,0)))</f>
        <v>Candy &amp; Confectionery Retail</v>
      </c>
      <c r="H545" s="7" t="str">
        <f t="array" ref="H545">IF(ISBLANK(E545), "", INDEX(Categories!$B:$B,MATCH(E545,Categories!$A:$A,0)))</f>
        <v/>
      </c>
      <c r="I545" s="7" t="str">
        <f t="array" ref="I545">IF(ISBLANK(F545), "", INDEX(Categories!$B:$B,MATCH(F545,Categories!$A:$A,0)))</f>
        <v/>
      </c>
      <c r="J545" s="4"/>
      <c r="K545" s="4"/>
      <c r="L545" s="4"/>
      <c r="M545" s="4"/>
      <c r="N545" s="4"/>
      <c r="O545" s="4"/>
      <c r="P545" s="4"/>
      <c r="Q545" s="4"/>
    </row>
    <row r="546">
      <c r="A546" s="5">
        <v>545.0</v>
      </c>
      <c r="B546" s="5" t="s">
        <v>768</v>
      </c>
      <c r="C546" s="5" t="s">
        <v>303</v>
      </c>
      <c r="D546" s="6">
        <f>IFERROR(__xludf.DUMMYFUNCTION("SPLIT(MID(C546,2,LEN(C546)-2), "","")"),1241.0)</f>
        <v>1241</v>
      </c>
      <c r="E546" s="7"/>
      <c r="F546" s="7"/>
      <c r="G546" s="2" t="str">
        <f t="array" ref="G546">IF(ISBLANK(D546), "", INDEX(Categories!$B:$B,MATCH(D546,Categories!$A:$A,0)))</f>
        <v>Clothing &amp; Accessories</v>
      </c>
      <c r="H546" s="7" t="str">
        <f t="array" ref="H546">IF(ISBLANK(E546), "", INDEX(Categories!$B:$B,MATCH(E546,Categories!$A:$A,0)))</f>
        <v/>
      </c>
      <c r="I546" s="7" t="str">
        <f t="array" ref="I546">IF(ISBLANK(F546), "", INDEX(Categories!$B:$B,MATCH(F546,Categories!$A:$A,0)))</f>
        <v/>
      </c>
      <c r="J546" s="4"/>
      <c r="K546" s="4"/>
      <c r="L546" s="4"/>
      <c r="M546" s="4"/>
      <c r="N546" s="4"/>
      <c r="O546" s="4"/>
      <c r="P546" s="4"/>
      <c r="Q546" s="4"/>
    </row>
    <row r="547">
      <c r="A547" s="5">
        <v>546.0</v>
      </c>
      <c r="B547" s="5" t="s">
        <v>769</v>
      </c>
      <c r="C547" s="5" t="s">
        <v>60</v>
      </c>
      <c r="D547" s="6">
        <f>IFERROR(__xludf.DUMMYFUNCTION("SPLIT(MID(C547,2,LEN(C547)-2), "","")"),240.0)</f>
        <v>240</v>
      </c>
      <c r="E547" s="7"/>
      <c r="F547" s="7"/>
      <c r="G547" s="2" t="str">
        <f t="array" ref="G547">IF(ISBLANK(D547), "", INDEX(Categories!$B:$B,MATCH(D547,Categories!$A:$A,0)))</f>
        <v>Restaurants Fast Food</v>
      </c>
      <c r="H547" s="7" t="str">
        <f t="array" ref="H547">IF(ISBLANK(E547), "", INDEX(Categories!$B:$B,MATCH(E547,Categories!$A:$A,0)))</f>
        <v/>
      </c>
      <c r="I547" s="7" t="str">
        <f t="array" ref="I547">IF(ISBLANK(F547), "", INDEX(Categories!$B:$B,MATCH(F547,Categories!$A:$A,0)))</f>
        <v/>
      </c>
      <c r="J547" s="4"/>
      <c r="K547" s="4"/>
      <c r="L547" s="4"/>
      <c r="M547" s="4"/>
      <c r="N547" s="4"/>
      <c r="O547" s="4"/>
      <c r="P547" s="4"/>
      <c r="Q547" s="4"/>
    </row>
    <row r="548">
      <c r="A548" s="5">
        <v>547.0</v>
      </c>
      <c r="B548" s="5" t="s">
        <v>770</v>
      </c>
      <c r="C548" s="5" t="s">
        <v>307</v>
      </c>
      <c r="D548" s="6">
        <f>IFERROR(__xludf.DUMMYFUNCTION("SPLIT(MID(C548,2,LEN(C548)-2), "","")"),241.0)</f>
        <v>241</v>
      </c>
      <c r="E548" s="7"/>
      <c r="F548" s="7"/>
      <c r="G548" s="2" t="str">
        <f t="array" ref="G548">IF(ISBLANK(D548), "", INDEX(Categories!$B:$B,MATCH(D548,Categories!$A:$A,0)))</f>
        <v>Restaurants Mexican</v>
      </c>
      <c r="H548" s="7" t="str">
        <f t="array" ref="H548">IF(ISBLANK(E548), "", INDEX(Categories!$B:$B,MATCH(E548,Categories!$A:$A,0)))</f>
        <v/>
      </c>
      <c r="I548" s="7" t="str">
        <f t="array" ref="I548">IF(ISBLANK(F548), "", INDEX(Categories!$B:$B,MATCH(F548,Categories!$A:$A,0)))</f>
        <v/>
      </c>
      <c r="J548" s="4"/>
      <c r="K548" s="4"/>
      <c r="L548" s="4"/>
      <c r="M548" s="4"/>
      <c r="N548" s="4"/>
      <c r="O548" s="4"/>
      <c r="P548" s="4"/>
      <c r="Q548" s="4"/>
    </row>
    <row r="549">
      <c r="A549" s="5">
        <v>548.0</v>
      </c>
      <c r="B549" s="5" t="s">
        <v>771</v>
      </c>
      <c r="C549" s="5" t="s">
        <v>115</v>
      </c>
      <c r="D549" s="6">
        <f>IFERROR(__xludf.DUMMYFUNCTION("SPLIT(MID(C549,2,LEN(C549)-2), "","")"),1272.0)</f>
        <v>1272</v>
      </c>
      <c r="E549" s="7"/>
      <c r="F549" s="7"/>
      <c r="G549" s="2" t="str">
        <f t="array" ref="G549">IF(ISBLANK(D549), "", INDEX(Categories!$B:$B,MATCH(D549,Categories!$A:$A,0)))</f>
        <v>Womens Apparel</v>
      </c>
      <c r="H549" s="7" t="str">
        <f t="array" ref="H549">IF(ISBLANK(E549), "", INDEX(Categories!$B:$B,MATCH(E549,Categories!$A:$A,0)))</f>
        <v/>
      </c>
      <c r="I549" s="7" t="str">
        <f t="array" ref="I549">IF(ISBLANK(F549), "", INDEX(Categories!$B:$B,MATCH(F549,Categories!$A:$A,0)))</f>
        <v/>
      </c>
      <c r="J549" s="4"/>
      <c r="K549" s="4"/>
      <c r="L549" s="4"/>
      <c r="M549" s="4"/>
      <c r="N549" s="4"/>
      <c r="O549" s="4"/>
      <c r="P549" s="4"/>
      <c r="Q549" s="4"/>
    </row>
    <row r="550">
      <c r="A550" s="5">
        <v>549.0</v>
      </c>
      <c r="B550" s="5" t="s">
        <v>772</v>
      </c>
      <c r="C550" s="5" t="s">
        <v>604</v>
      </c>
      <c r="D550" s="6">
        <f>IFERROR(__xludf.DUMMYFUNCTION("SPLIT(MID(C550,2,LEN(C550)-2), "","")"),1124.0)</f>
        <v>1124</v>
      </c>
      <c r="E550" s="7"/>
      <c r="F550" s="7"/>
      <c r="G550" s="2" t="str">
        <f t="array" ref="G550">IF(ISBLANK(D550), "", INDEX(Categories!$B:$B,MATCH(D550,Categories!$A:$A,0)))</f>
        <v>Farm Supplies Retail</v>
      </c>
      <c r="H550" s="7" t="str">
        <f t="array" ref="H550">IF(ISBLANK(E550), "", INDEX(Categories!$B:$B,MATCH(E550,Categories!$A:$A,0)))</f>
        <v/>
      </c>
      <c r="I550" s="7" t="str">
        <f t="array" ref="I550">IF(ISBLANK(F550), "", INDEX(Categories!$B:$B,MATCH(F550,Categories!$A:$A,0)))</f>
        <v/>
      </c>
      <c r="J550" s="4"/>
      <c r="K550" s="4"/>
      <c r="L550" s="4"/>
      <c r="M550" s="4"/>
      <c r="N550" s="4"/>
      <c r="O550" s="4"/>
      <c r="P550" s="4"/>
      <c r="Q550" s="4"/>
    </row>
    <row r="551">
      <c r="A551" s="5">
        <v>550.0</v>
      </c>
      <c r="B551" s="5" t="s">
        <v>773</v>
      </c>
      <c r="C551" s="5" t="s">
        <v>34</v>
      </c>
      <c r="D551" s="6">
        <f>IFERROR(__xludf.DUMMYFUNCTION("SPLIT(MID(C551,2,LEN(C551)-2), "","")"),228.0)</f>
        <v>228</v>
      </c>
      <c r="E551" s="7"/>
      <c r="F551" s="7"/>
      <c r="G551" s="2" t="str">
        <f t="array" ref="G551">IF(ISBLANK(D551), "", INDEX(Categories!$B:$B,MATCH(D551,Categories!$A:$A,0)))</f>
        <v>Restaurants</v>
      </c>
      <c r="H551" s="7" t="str">
        <f t="array" ref="H551">IF(ISBLANK(E551), "", INDEX(Categories!$B:$B,MATCH(E551,Categories!$A:$A,0)))</f>
        <v/>
      </c>
      <c r="I551" s="7" t="str">
        <f t="array" ref="I551">IF(ISBLANK(F551), "", INDEX(Categories!$B:$B,MATCH(F551,Categories!$A:$A,0)))</f>
        <v/>
      </c>
      <c r="J551" s="4"/>
      <c r="K551" s="4"/>
      <c r="L551" s="4"/>
      <c r="M551" s="4"/>
      <c r="N551" s="4"/>
      <c r="O551" s="4"/>
      <c r="P551" s="4"/>
      <c r="Q551" s="4"/>
    </row>
    <row r="552">
      <c r="A552" s="5">
        <v>551.0</v>
      </c>
      <c r="B552" s="5" t="s">
        <v>774</v>
      </c>
      <c r="C552" s="5" t="s">
        <v>775</v>
      </c>
      <c r="D552" s="6">
        <f>IFERROR(__xludf.DUMMYFUNCTION("SPLIT(MID(C552,2,LEN(C552)-2), "","")"),2785.0)</f>
        <v>2785</v>
      </c>
      <c r="E552" s="7"/>
      <c r="F552" s="7"/>
      <c r="G552" s="2" t="str">
        <f t="array" ref="G552">IF(ISBLANK(D552), "", INDEX(Categories!$B:$B,MATCH(D552,Categories!$A:$A,0)))</f>
        <v>Home Improvement Centers</v>
      </c>
      <c r="H552" s="7" t="str">
        <f t="array" ref="H552">IF(ISBLANK(E552), "", INDEX(Categories!$B:$B,MATCH(E552,Categories!$A:$A,0)))</f>
        <v/>
      </c>
      <c r="I552" s="7" t="str">
        <f t="array" ref="I552">IF(ISBLANK(F552), "", INDEX(Categories!$B:$B,MATCH(F552,Categories!$A:$A,0)))</f>
        <v/>
      </c>
      <c r="J552" s="4"/>
      <c r="K552" s="4"/>
      <c r="L552" s="4"/>
      <c r="M552" s="4"/>
      <c r="N552" s="4"/>
      <c r="O552" s="4"/>
      <c r="P552" s="4"/>
      <c r="Q552" s="4"/>
    </row>
    <row r="553">
      <c r="A553" s="5">
        <v>552.0</v>
      </c>
      <c r="B553" s="5" t="s">
        <v>776</v>
      </c>
      <c r="C553" s="5" t="s">
        <v>324</v>
      </c>
      <c r="D553" s="6">
        <f>IFERROR(__xludf.DUMMYFUNCTION("SPLIT(MID(C553,2,LEN(C553)-2), "","")"),290.0)</f>
        <v>290</v>
      </c>
      <c r="E553" s="7"/>
      <c r="F553" s="7"/>
      <c r="G553" s="2" t="str">
        <f t="array" ref="G553">IF(ISBLANK(D553), "", INDEX(Categories!$B:$B,MATCH(D553,Categories!$A:$A,0)))</f>
        <v>Banks &amp; Credit Unions</v>
      </c>
      <c r="H553" s="7" t="str">
        <f t="array" ref="H553">IF(ISBLANK(E553), "", INDEX(Categories!$B:$B,MATCH(E553,Categories!$A:$A,0)))</f>
        <v/>
      </c>
      <c r="I553" s="7" t="str">
        <f t="array" ref="I553">IF(ISBLANK(F553), "", INDEX(Categories!$B:$B,MATCH(F553,Categories!$A:$A,0)))</f>
        <v/>
      </c>
      <c r="J553" s="4"/>
      <c r="K553" s="4"/>
      <c r="L553" s="4"/>
      <c r="M553" s="4"/>
      <c r="N553" s="4"/>
      <c r="O553" s="4"/>
      <c r="P553" s="4"/>
      <c r="Q553" s="4"/>
    </row>
    <row r="554">
      <c r="A554" s="5">
        <v>553.0</v>
      </c>
      <c r="B554" s="5" t="s">
        <v>777</v>
      </c>
      <c r="C554" s="5" t="s">
        <v>18</v>
      </c>
      <c r="D554" s="6">
        <f>IFERROR(__xludf.DUMMYFUNCTION("SPLIT(MID(C554,2,LEN(C554)-2), "","")"),121.0)</f>
        <v>121</v>
      </c>
      <c r="E554" s="7"/>
      <c r="F554" s="7"/>
      <c r="G554" s="2" t="str">
        <f t="array" ref="G554">IF(ISBLANK(D554), "", INDEX(Categories!$B:$B,MATCH(D554,Categories!$A:$A,0)))</f>
        <v>Insurance</v>
      </c>
      <c r="H554" s="7" t="str">
        <f t="array" ref="H554">IF(ISBLANK(E554), "", INDEX(Categories!$B:$B,MATCH(E554,Categories!$A:$A,0)))</f>
        <v/>
      </c>
      <c r="I554" s="7" t="str">
        <f t="array" ref="I554">IF(ISBLANK(F554), "", INDEX(Categories!$B:$B,MATCH(F554,Categories!$A:$A,0)))</f>
        <v/>
      </c>
      <c r="J554" s="4"/>
      <c r="K554" s="4"/>
      <c r="L554" s="4"/>
      <c r="M554" s="4"/>
      <c r="N554" s="4"/>
      <c r="O554" s="4"/>
      <c r="P554" s="4"/>
      <c r="Q554" s="4"/>
    </row>
    <row r="555">
      <c r="A555" s="5">
        <v>554.0</v>
      </c>
      <c r="B555" s="5" t="s">
        <v>778</v>
      </c>
      <c r="C555" s="5" t="s">
        <v>12</v>
      </c>
      <c r="D555" s="6">
        <f>IFERROR(__xludf.DUMMYFUNCTION("SPLIT(MID(C555,2,LEN(C555)-2), "","")"),469.0)</f>
        <v>469</v>
      </c>
      <c r="E555" s="7"/>
      <c r="F555" s="7"/>
      <c r="G555" s="2" t="str">
        <f t="array" ref="G555">IF(ISBLANK(D555), "", INDEX(Categories!$B:$B,MATCH(D555,Categories!$A:$A,0)))</f>
        <v>Automobile - Repairs &amp; Services</v>
      </c>
      <c r="H555" s="7" t="str">
        <f t="array" ref="H555">IF(ISBLANK(E555), "", INDEX(Categories!$B:$B,MATCH(E555,Categories!$A:$A,0)))</f>
        <v/>
      </c>
      <c r="I555" s="7" t="str">
        <f t="array" ref="I555">IF(ISBLANK(F555), "", INDEX(Categories!$B:$B,MATCH(F555,Categories!$A:$A,0)))</f>
        <v/>
      </c>
      <c r="J555" s="4"/>
      <c r="K555" s="4"/>
      <c r="L555" s="4"/>
      <c r="M555" s="4"/>
      <c r="N555" s="4"/>
      <c r="O555" s="4"/>
      <c r="P555" s="4"/>
      <c r="Q555" s="4"/>
    </row>
    <row r="556">
      <c r="A556" s="5">
        <v>555.0</v>
      </c>
      <c r="B556" s="5" t="s">
        <v>779</v>
      </c>
      <c r="C556" s="5" t="s">
        <v>32</v>
      </c>
      <c r="D556" s="6">
        <f>IFERROR(__xludf.DUMMYFUNCTION("SPLIT(MID(C556,2,LEN(C556)-2), "","")"),2631.0)</f>
        <v>2631</v>
      </c>
      <c r="E556" s="7"/>
      <c r="F556" s="7"/>
      <c r="G556" s="2" t="str">
        <f t="array" ref="G556">IF(ISBLANK(D556), "", INDEX(Categories!$B:$B,MATCH(D556,Categories!$A:$A,0)))</f>
        <v>Housewares &amp; Home Decor</v>
      </c>
      <c r="H556" s="7" t="str">
        <f t="array" ref="H556">IF(ISBLANK(E556), "", INDEX(Categories!$B:$B,MATCH(E556,Categories!$A:$A,0)))</f>
        <v/>
      </c>
      <c r="I556" s="7" t="str">
        <f t="array" ref="I556">IF(ISBLANK(F556), "", INDEX(Categories!$B:$B,MATCH(F556,Categories!$A:$A,0)))</f>
        <v/>
      </c>
      <c r="J556" s="4"/>
      <c r="K556" s="4"/>
      <c r="L556" s="4"/>
      <c r="M556" s="4"/>
      <c r="N556" s="4"/>
      <c r="O556" s="4"/>
      <c r="P556" s="4"/>
      <c r="Q556" s="4"/>
    </row>
    <row r="557">
      <c r="A557" s="5">
        <v>556.0</v>
      </c>
      <c r="B557" s="5" t="s">
        <v>780</v>
      </c>
      <c r="C557" s="5" t="s">
        <v>781</v>
      </c>
      <c r="D557" s="6">
        <f>IFERROR(__xludf.DUMMYFUNCTION("SPLIT(MID(C557,2,LEN(C557)-2), "","")"),1225.0)</f>
        <v>1225</v>
      </c>
      <c r="E557" s="7"/>
      <c r="F557" s="7"/>
      <c r="G557" s="2" t="str">
        <f t="array" ref="G557">IF(ISBLANK(D557), "", INDEX(Categories!$B:$B,MATCH(D557,Categories!$A:$A,0)))</f>
        <v>Contractors General</v>
      </c>
      <c r="H557" s="7" t="str">
        <f t="array" ref="H557">IF(ISBLANK(E557), "", INDEX(Categories!$B:$B,MATCH(E557,Categories!$A:$A,0)))</f>
        <v/>
      </c>
      <c r="I557" s="7" t="str">
        <f t="array" ref="I557">IF(ISBLANK(F557), "", INDEX(Categories!$B:$B,MATCH(F557,Categories!$A:$A,0)))</f>
        <v/>
      </c>
      <c r="J557" s="4"/>
      <c r="K557" s="4"/>
      <c r="L557" s="4"/>
      <c r="M557" s="4"/>
      <c r="N557" s="4"/>
      <c r="O557" s="4"/>
      <c r="P557" s="4"/>
      <c r="Q557" s="4"/>
    </row>
    <row r="558">
      <c r="A558" s="5">
        <v>557.0</v>
      </c>
      <c r="B558" s="5" t="s">
        <v>782</v>
      </c>
      <c r="C558" s="5" t="s">
        <v>395</v>
      </c>
      <c r="D558" s="6">
        <f>IFERROR(__xludf.DUMMYFUNCTION("SPLIT(MID(C558,2,LEN(C558)-2), "","")"),277.0)</f>
        <v>277</v>
      </c>
      <c r="E558" s="7"/>
      <c r="F558" s="7"/>
      <c r="G558" s="2" t="str">
        <f t="array" ref="G558">IF(ISBLANK(D558), "", INDEX(Categories!$B:$B,MATCH(D558,Categories!$A:$A,0)))</f>
        <v>Office Supplies</v>
      </c>
      <c r="H558" s="7" t="str">
        <f t="array" ref="H558">IF(ISBLANK(E558), "", INDEX(Categories!$B:$B,MATCH(E558,Categories!$A:$A,0)))</f>
        <v/>
      </c>
      <c r="I558" s="7" t="str">
        <f t="array" ref="I558">IF(ISBLANK(F558), "", INDEX(Categories!$B:$B,MATCH(F558,Categories!$A:$A,0)))</f>
        <v/>
      </c>
      <c r="J558" s="4"/>
      <c r="K558" s="4"/>
      <c r="L558" s="4"/>
      <c r="M558" s="4"/>
      <c r="N558" s="4"/>
      <c r="O558" s="4"/>
      <c r="P558" s="4"/>
      <c r="Q558" s="4"/>
    </row>
    <row r="559">
      <c r="A559" s="5">
        <v>558.0</v>
      </c>
      <c r="B559" s="5" t="s">
        <v>783</v>
      </c>
      <c r="C559" s="5" t="s">
        <v>10</v>
      </c>
      <c r="D559" s="6">
        <f>IFERROR(__xludf.DUMMYFUNCTION("SPLIT(MID(C559,2,LEN(C559)-2), "","")"),1168.0)</f>
        <v>1168</v>
      </c>
      <c r="E559" s="7"/>
      <c r="F559" s="7"/>
      <c r="G559" s="2" t="str">
        <f t="array" ref="G559">IF(ISBLANK(D559), "", INDEX(Categories!$B:$B,MATCH(D559,Categories!$A:$A,0)))</f>
        <v>Convenience Stores</v>
      </c>
      <c r="H559" s="7" t="str">
        <f t="array" ref="H559">IF(ISBLANK(E559), "", INDEX(Categories!$B:$B,MATCH(E559,Categories!$A:$A,0)))</f>
        <v/>
      </c>
      <c r="I559" s="7" t="str">
        <f t="array" ref="I559">IF(ISBLANK(F559), "", INDEX(Categories!$B:$B,MATCH(F559,Categories!$A:$A,0)))</f>
        <v/>
      </c>
      <c r="J559" s="4"/>
      <c r="K559" s="4"/>
      <c r="L559" s="4"/>
      <c r="M559" s="4"/>
      <c r="N559" s="4"/>
      <c r="O559" s="4"/>
      <c r="P559" s="4"/>
      <c r="Q559" s="4"/>
    </row>
    <row r="560">
      <c r="A560" s="5">
        <v>559.0</v>
      </c>
      <c r="B560" s="5" t="s">
        <v>784</v>
      </c>
      <c r="C560" s="5" t="s">
        <v>43</v>
      </c>
      <c r="D560" s="6">
        <f>IFERROR(__xludf.DUMMYFUNCTION("SPLIT(MID(C560,2,LEN(C560)-2), "","")"),292.0)</f>
        <v>292</v>
      </c>
      <c r="E560" s="7"/>
      <c r="F560" s="7"/>
      <c r="G560" s="2" t="str">
        <f t="array" ref="G560">IF(ISBLANK(D560), "", INDEX(Categories!$B:$B,MATCH(D560,Categories!$A:$A,0)))</f>
        <v>Banks</v>
      </c>
      <c r="H560" s="7" t="str">
        <f t="array" ref="H560">IF(ISBLANK(E560), "", INDEX(Categories!$B:$B,MATCH(E560,Categories!$A:$A,0)))</f>
        <v/>
      </c>
      <c r="I560" s="7" t="str">
        <f t="array" ref="I560">IF(ISBLANK(F560), "", INDEX(Categories!$B:$B,MATCH(F560,Categories!$A:$A,0)))</f>
        <v/>
      </c>
      <c r="J560" s="4"/>
      <c r="K560" s="4"/>
      <c r="L560" s="4"/>
      <c r="M560" s="4"/>
      <c r="N560" s="4"/>
      <c r="O560" s="4"/>
      <c r="P560" s="4"/>
      <c r="Q560" s="4"/>
    </row>
    <row r="561">
      <c r="A561" s="5">
        <v>560.0</v>
      </c>
      <c r="B561" s="5" t="s">
        <v>785</v>
      </c>
      <c r="C561" s="5" t="s">
        <v>488</v>
      </c>
      <c r="D561" s="6">
        <f>IFERROR(__xludf.DUMMYFUNCTION("SPLIT(MID(C561,2,LEN(C561)-2), "","")"),1481.0)</f>
        <v>1481</v>
      </c>
      <c r="E561" s="7"/>
      <c r="F561" s="7"/>
      <c r="G561" s="2" t="str">
        <f t="array" ref="G561">IF(ISBLANK(D561), "", INDEX(Categories!$B:$B,MATCH(D561,Categories!$A:$A,0)))</f>
        <v>Railroad Companies</v>
      </c>
      <c r="H561" s="7" t="str">
        <f t="array" ref="H561">IF(ISBLANK(E561), "", INDEX(Categories!$B:$B,MATCH(E561,Categories!$A:$A,0)))</f>
        <v/>
      </c>
      <c r="I561" s="7" t="str">
        <f t="array" ref="I561">IF(ISBLANK(F561), "", INDEX(Categories!$B:$B,MATCH(F561,Categories!$A:$A,0)))</f>
        <v/>
      </c>
      <c r="J561" s="4"/>
      <c r="K561" s="4"/>
      <c r="L561" s="4"/>
      <c r="M561" s="4"/>
      <c r="N561" s="4"/>
      <c r="O561" s="4"/>
      <c r="P561" s="4"/>
      <c r="Q561" s="4"/>
    </row>
    <row r="562">
      <c r="A562" s="5">
        <v>561.0</v>
      </c>
      <c r="B562" s="5" t="s">
        <v>786</v>
      </c>
      <c r="C562" s="5" t="s">
        <v>65</v>
      </c>
      <c r="D562" s="6">
        <f>IFERROR(__xludf.DUMMYFUNCTION("SPLIT(MID(C562,2,LEN(C562)-2), "","")"),983.0)</f>
        <v>983</v>
      </c>
      <c r="E562" s="7"/>
      <c r="F562" s="7"/>
      <c r="G562" s="2" t="str">
        <f t="array" ref="G562">IF(ISBLANK(D562), "", INDEX(Categories!$B:$B,MATCH(D562,Categories!$A:$A,0)))</f>
        <v>Mobile Telephone Service</v>
      </c>
      <c r="H562" s="7" t="str">
        <f t="array" ref="H562">IF(ISBLANK(E562), "", INDEX(Categories!$B:$B,MATCH(E562,Categories!$A:$A,0)))</f>
        <v/>
      </c>
      <c r="I562" s="7" t="str">
        <f t="array" ref="I562">IF(ISBLANK(F562), "", INDEX(Categories!$B:$B,MATCH(F562,Categories!$A:$A,0)))</f>
        <v/>
      </c>
      <c r="J562" s="4"/>
      <c r="K562" s="4"/>
      <c r="L562" s="4"/>
      <c r="M562" s="4"/>
      <c r="N562" s="4"/>
      <c r="O562" s="4"/>
      <c r="P562" s="4"/>
      <c r="Q562" s="4"/>
    </row>
    <row r="563">
      <c r="A563" s="5">
        <v>562.0</v>
      </c>
      <c r="B563" s="5" t="s">
        <v>787</v>
      </c>
      <c r="C563" s="5" t="s">
        <v>788</v>
      </c>
      <c r="D563" s="6">
        <f>IFERROR(__xludf.DUMMYFUNCTION("SPLIT(MID(C563,2,LEN(C563)-2), "","")"),1755.0)</f>
        <v>1755</v>
      </c>
      <c r="E563" s="7"/>
      <c r="F563" s="7"/>
      <c r="G563" s="2" t="str">
        <f t="array" ref="G563">IF(ISBLANK(D563), "", INDEX(Categories!$B:$B,MATCH(D563,Categories!$A:$A,0)))</f>
        <v>Post Offices &amp; Mail Services</v>
      </c>
      <c r="H563" s="7" t="str">
        <f t="array" ref="H563">IF(ISBLANK(E563), "", INDEX(Categories!$B:$B,MATCH(E563,Categories!$A:$A,0)))</f>
        <v/>
      </c>
      <c r="I563" s="7" t="str">
        <f t="array" ref="I563">IF(ISBLANK(F563), "", INDEX(Categories!$B:$B,MATCH(F563,Categories!$A:$A,0)))</f>
        <v/>
      </c>
      <c r="J563" s="4"/>
      <c r="K563" s="4"/>
      <c r="L563" s="4"/>
      <c r="M563" s="4"/>
      <c r="N563" s="4"/>
      <c r="O563" s="4"/>
      <c r="P563" s="4"/>
      <c r="Q563" s="4"/>
    </row>
    <row r="564">
      <c r="A564" s="5">
        <v>563.0</v>
      </c>
      <c r="B564" s="5" t="s">
        <v>789</v>
      </c>
      <c r="C564" s="5" t="s">
        <v>515</v>
      </c>
      <c r="D564" s="6">
        <f>IFERROR(__xludf.DUMMYFUNCTION("SPLIT(MID(C564,2,LEN(C564)-2), "","")"),2490.0)</f>
        <v>2490</v>
      </c>
      <c r="E564" s="7"/>
      <c r="F564" s="7"/>
      <c r="G564" s="2" t="str">
        <f t="array" ref="G564">IF(ISBLANK(D564), "", INDEX(Categories!$B:$B,MATCH(D564,Categories!$A:$A,0)))</f>
        <v>Labor Organizations</v>
      </c>
      <c r="H564" s="7" t="str">
        <f t="array" ref="H564">IF(ISBLANK(E564), "", INDEX(Categories!$B:$B,MATCH(E564,Categories!$A:$A,0)))</f>
        <v/>
      </c>
      <c r="I564" s="7" t="str">
        <f t="array" ref="I564">IF(ISBLANK(F564), "", INDEX(Categories!$B:$B,MATCH(F564,Categories!$A:$A,0)))</f>
        <v/>
      </c>
      <c r="J564" s="4"/>
      <c r="K564" s="4"/>
      <c r="L564" s="4"/>
      <c r="M564" s="4"/>
      <c r="N564" s="4"/>
      <c r="O564" s="4"/>
      <c r="P564" s="4"/>
      <c r="Q564" s="4"/>
    </row>
    <row r="565">
      <c r="A565" s="5">
        <v>564.0</v>
      </c>
      <c r="B565" s="5" t="s">
        <v>790</v>
      </c>
      <c r="C565" s="5" t="s">
        <v>221</v>
      </c>
      <c r="D565" s="6">
        <f>IFERROR(__xludf.DUMMYFUNCTION("SPLIT(MID(C565,2,LEN(C565)-2), "","")"),483.0)</f>
        <v>483</v>
      </c>
      <c r="E565" s="7"/>
      <c r="F565" s="7"/>
      <c r="G565" s="2" t="str">
        <f t="array" ref="G565">IF(ISBLANK(D565), "", INDEX(Categories!$B:$B,MATCH(D565,Categories!$A:$A,0)))</f>
        <v>Automobile Window Service &amp; Repair</v>
      </c>
      <c r="H565" s="7" t="str">
        <f t="array" ref="H565">IF(ISBLANK(E565), "", INDEX(Categories!$B:$B,MATCH(E565,Categories!$A:$A,0)))</f>
        <v/>
      </c>
      <c r="I565" s="7" t="str">
        <f t="array" ref="I565">IF(ISBLANK(F565), "", INDEX(Categories!$B:$B,MATCH(F565,Categories!$A:$A,0)))</f>
        <v/>
      </c>
      <c r="J565" s="4"/>
      <c r="K565" s="4"/>
      <c r="L565" s="4"/>
      <c r="M565" s="4"/>
      <c r="N565" s="4"/>
      <c r="O565" s="4"/>
      <c r="P565" s="4"/>
      <c r="Q565" s="4"/>
    </row>
    <row r="566">
      <c r="A566" s="5">
        <v>565.0</v>
      </c>
      <c r="B566" s="5" t="s">
        <v>791</v>
      </c>
      <c r="C566" s="5" t="s">
        <v>20</v>
      </c>
      <c r="D566" s="6">
        <f>IFERROR(__xludf.DUMMYFUNCTION("SPLIT(MID(C566,2,LEN(C566)-2), "","")"),1213.0)</f>
        <v>1213</v>
      </c>
      <c r="E566" s="7"/>
      <c r="F566" s="7"/>
      <c r="G566" s="2" t="str">
        <f t="array" ref="G566">IF(ISBLANK(D566), "", INDEX(Categories!$B:$B,MATCH(D566,Categories!$A:$A,0)))</f>
        <v>Social Service Organizations</v>
      </c>
      <c r="H566" s="7" t="str">
        <f t="array" ref="H566">IF(ISBLANK(E566), "", INDEX(Categories!$B:$B,MATCH(E566,Categories!$A:$A,0)))</f>
        <v/>
      </c>
      <c r="I566" s="7" t="str">
        <f t="array" ref="I566">IF(ISBLANK(F566), "", INDEX(Categories!$B:$B,MATCH(F566,Categories!$A:$A,0)))</f>
        <v/>
      </c>
      <c r="J566" s="4"/>
      <c r="K566" s="4"/>
      <c r="L566" s="4"/>
      <c r="M566" s="4"/>
      <c r="N566" s="4"/>
      <c r="O566" s="4"/>
      <c r="P566" s="4"/>
      <c r="Q566" s="4"/>
    </row>
    <row r="567">
      <c r="A567" s="5">
        <v>566.0</v>
      </c>
      <c r="B567" s="5" t="s">
        <v>792</v>
      </c>
      <c r="C567" s="5" t="s">
        <v>451</v>
      </c>
      <c r="D567" s="6">
        <f>IFERROR(__xludf.DUMMYFUNCTION("SPLIT(MID(C567,2,LEN(C567)-2), "","")"),2192.0)</f>
        <v>2192</v>
      </c>
      <c r="E567" s="7"/>
      <c r="F567" s="7"/>
      <c r="G567" s="2" t="str">
        <f t="array" ref="G567">IF(ISBLANK(D567), "", INDEX(Categories!$B:$B,MATCH(D567,Categories!$A:$A,0)))</f>
        <v>Industrial Equipment &amp; Supplies</v>
      </c>
      <c r="H567" s="7" t="str">
        <f t="array" ref="H567">IF(ISBLANK(E567), "", INDEX(Categories!$B:$B,MATCH(E567,Categories!$A:$A,0)))</f>
        <v/>
      </c>
      <c r="I567" s="7" t="str">
        <f t="array" ref="I567">IF(ISBLANK(F567), "", INDEX(Categories!$B:$B,MATCH(F567,Categories!$A:$A,0)))</f>
        <v/>
      </c>
      <c r="J567" s="4"/>
      <c r="K567" s="4"/>
      <c r="L567" s="4"/>
      <c r="M567" s="4"/>
      <c r="N567" s="4"/>
      <c r="O567" s="4"/>
      <c r="P567" s="4"/>
      <c r="Q567" s="4"/>
    </row>
    <row r="568">
      <c r="A568" s="5">
        <v>567.0</v>
      </c>
      <c r="B568" s="5" t="s">
        <v>793</v>
      </c>
      <c r="C568" s="5" t="s">
        <v>102</v>
      </c>
      <c r="D568" s="6">
        <f>IFERROR(__xludf.DUMMYFUNCTION("SPLIT(MID(C568,2,LEN(C568)-2), "","")"),298.0)</f>
        <v>298</v>
      </c>
      <c r="E568" s="7"/>
      <c r="F568" s="7"/>
      <c r="G568" s="2" t="str">
        <f t="array" ref="G568">IF(ISBLANK(D568), "", INDEX(Categories!$B:$B,MATCH(D568,Categories!$A:$A,0)))</f>
        <v>Financial Services</v>
      </c>
      <c r="H568" s="7" t="str">
        <f t="array" ref="H568">IF(ISBLANK(E568), "", INDEX(Categories!$B:$B,MATCH(E568,Categories!$A:$A,0)))</f>
        <v/>
      </c>
      <c r="I568" s="7" t="str">
        <f t="array" ref="I568">IF(ISBLANK(F568), "", INDEX(Categories!$B:$B,MATCH(F568,Categories!$A:$A,0)))</f>
        <v/>
      </c>
      <c r="J568" s="4"/>
      <c r="K568" s="4"/>
      <c r="L568" s="4"/>
      <c r="M568" s="4"/>
      <c r="N568" s="4"/>
      <c r="O568" s="4"/>
      <c r="P568" s="4"/>
      <c r="Q568" s="4"/>
    </row>
    <row r="569">
      <c r="A569" s="5">
        <v>568.0</v>
      </c>
      <c r="B569" s="5" t="s">
        <v>794</v>
      </c>
      <c r="C569" s="5" t="s">
        <v>55</v>
      </c>
      <c r="D569" s="6">
        <f>IFERROR(__xludf.DUMMYFUNCTION("SPLIT(MID(C569,2,LEN(C569)-2), "","")"),1420.0)</f>
        <v>1420</v>
      </c>
      <c r="E569" s="7"/>
      <c r="F569" s="7"/>
      <c r="G569" s="2" t="str">
        <f t="array" ref="G569">IF(ISBLANK(D569), "", INDEX(Categories!$B:$B,MATCH(D569,Categories!$A:$A,0)))</f>
        <v>Video Tapes &amp; Discs Sales &amp; Rentals</v>
      </c>
      <c r="H569" s="7" t="str">
        <f t="array" ref="H569">IF(ISBLANK(E569), "", INDEX(Categories!$B:$B,MATCH(E569,Categories!$A:$A,0)))</f>
        <v/>
      </c>
      <c r="I569" s="7" t="str">
        <f t="array" ref="I569">IF(ISBLANK(F569), "", INDEX(Categories!$B:$B,MATCH(F569,Categories!$A:$A,0)))</f>
        <v/>
      </c>
      <c r="J569" s="4"/>
      <c r="K569" s="4"/>
      <c r="L569" s="4"/>
      <c r="M569" s="4"/>
      <c r="N569" s="4"/>
      <c r="O569" s="4"/>
      <c r="P569" s="4"/>
      <c r="Q569" s="4"/>
    </row>
    <row r="570">
      <c r="A570" s="5">
        <v>569.0</v>
      </c>
      <c r="B570" s="5" t="s">
        <v>795</v>
      </c>
      <c r="C570" s="5" t="s">
        <v>34</v>
      </c>
      <c r="D570" s="6">
        <f>IFERROR(__xludf.DUMMYFUNCTION("SPLIT(MID(C570,2,LEN(C570)-2), "","")"),228.0)</f>
        <v>228</v>
      </c>
      <c r="E570" s="7"/>
      <c r="F570" s="7"/>
      <c r="G570" s="2" t="str">
        <f t="array" ref="G570">IF(ISBLANK(D570), "", INDEX(Categories!$B:$B,MATCH(D570,Categories!$A:$A,0)))</f>
        <v>Restaurants</v>
      </c>
      <c r="H570" s="7" t="str">
        <f t="array" ref="H570">IF(ISBLANK(E570), "", INDEX(Categories!$B:$B,MATCH(E570,Categories!$A:$A,0)))</f>
        <v/>
      </c>
      <c r="I570" s="7" t="str">
        <f t="array" ref="I570">IF(ISBLANK(F570), "", INDEX(Categories!$B:$B,MATCH(F570,Categories!$A:$A,0)))</f>
        <v/>
      </c>
      <c r="J570" s="4"/>
      <c r="K570" s="4"/>
      <c r="L570" s="4"/>
      <c r="M570" s="4"/>
      <c r="N570" s="4"/>
      <c r="O570" s="4"/>
      <c r="P570" s="4"/>
      <c r="Q570" s="4"/>
    </row>
    <row r="571">
      <c r="A571" s="5">
        <v>570.0</v>
      </c>
      <c r="B571" s="5" t="s">
        <v>796</v>
      </c>
      <c r="C571" s="5" t="s">
        <v>428</v>
      </c>
      <c r="D571" s="6">
        <f>IFERROR(__xludf.DUMMYFUNCTION("SPLIT(MID(C571,2,LEN(C571)-2), "","")"),558.0)</f>
        <v>558</v>
      </c>
      <c r="E571" s="7"/>
      <c r="F571" s="7"/>
      <c r="G571" s="2" t="str">
        <f t="array" ref="G571">IF(ISBLANK(D571), "", INDEX(Categories!$B:$B,MATCH(D571,Categories!$A:$A,0)))</f>
        <v>Employment Agencies</v>
      </c>
      <c r="H571" s="7" t="str">
        <f t="array" ref="H571">IF(ISBLANK(E571), "", INDEX(Categories!$B:$B,MATCH(E571,Categories!$A:$A,0)))</f>
        <v/>
      </c>
      <c r="I571" s="7" t="str">
        <f t="array" ref="I571">IF(ISBLANK(F571), "", INDEX(Categories!$B:$B,MATCH(F571,Categories!$A:$A,0)))</f>
        <v/>
      </c>
      <c r="J571" s="4"/>
      <c r="K571" s="4"/>
      <c r="L571" s="4"/>
      <c r="M571" s="4"/>
      <c r="N571" s="4"/>
      <c r="O571" s="4"/>
      <c r="P571" s="4"/>
      <c r="Q571" s="4"/>
    </row>
    <row r="572">
      <c r="A572" s="5">
        <v>571.0</v>
      </c>
      <c r="B572" s="5" t="s">
        <v>797</v>
      </c>
      <c r="C572" s="5" t="s">
        <v>60</v>
      </c>
      <c r="D572" s="6">
        <f>IFERROR(__xludf.DUMMYFUNCTION("SPLIT(MID(C572,2,LEN(C572)-2), "","")"),240.0)</f>
        <v>240</v>
      </c>
      <c r="E572" s="7"/>
      <c r="F572" s="7"/>
      <c r="G572" s="2" t="str">
        <f t="array" ref="G572">IF(ISBLANK(D572), "", INDEX(Categories!$B:$B,MATCH(D572,Categories!$A:$A,0)))</f>
        <v>Restaurants Fast Food</v>
      </c>
      <c r="H572" s="7" t="str">
        <f t="array" ref="H572">IF(ISBLANK(E572), "", INDEX(Categories!$B:$B,MATCH(E572,Categories!$A:$A,0)))</f>
        <v/>
      </c>
      <c r="I572" s="7" t="str">
        <f t="array" ref="I572">IF(ISBLANK(F572), "", INDEX(Categories!$B:$B,MATCH(F572,Categories!$A:$A,0)))</f>
        <v/>
      </c>
      <c r="J572" s="4"/>
      <c r="K572" s="4"/>
      <c r="L572" s="4"/>
      <c r="M572" s="4"/>
      <c r="N572" s="4"/>
      <c r="O572" s="4"/>
      <c r="P572" s="4"/>
      <c r="Q572" s="4"/>
    </row>
    <row r="573">
      <c r="A573" s="5">
        <v>572.0</v>
      </c>
      <c r="B573" s="5" t="s">
        <v>798</v>
      </c>
      <c r="C573" s="5" t="s">
        <v>799</v>
      </c>
      <c r="D573" s="6">
        <f>IFERROR(__xludf.DUMMYFUNCTION("SPLIT(MID(C573,2,LEN(C573)-2), "","")"),2636.0)</f>
        <v>2636</v>
      </c>
      <c r="E573" s="7"/>
      <c r="F573" s="7"/>
      <c r="G573" s="2" t="str">
        <f t="array" ref="G573">IF(ISBLANK(D573), "", INDEX(Categories!$B:$B,MATCH(D573,Categories!$A:$A,0)))</f>
        <v>Candles Retail</v>
      </c>
      <c r="H573" s="7" t="str">
        <f t="array" ref="H573">IF(ISBLANK(E573), "", INDEX(Categories!$B:$B,MATCH(E573,Categories!$A:$A,0)))</f>
        <v/>
      </c>
      <c r="I573" s="7" t="str">
        <f t="array" ref="I573">IF(ISBLANK(F573), "", INDEX(Categories!$B:$B,MATCH(F573,Categories!$A:$A,0)))</f>
        <v/>
      </c>
      <c r="J573" s="4"/>
      <c r="K573" s="4"/>
      <c r="L573" s="4"/>
      <c r="M573" s="4"/>
      <c r="N573" s="4"/>
      <c r="O573" s="4"/>
      <c r="P573" s="4"/>
      <c r="Q573" s="4"/>
    </row>
    <row r="574">
      <c r="A574" s="5">
        <v>573.0</v>
      </c>
      <c r="B574" s="5" t="s">
        <v>800</v>
      </c>
      <c r="C574" s="5" t="s">
        <v>801</v>
      </c>
      <c r="D574" s="6">
        <f>IFERROR(__xludf.DUMMYFUNCTION("SPLIT(MID(C574,2,LEN(C574)-2), "","")"),1886.0)</f>
        <v>1886</v>
      </c>
      <c r="E574" s="7"/>
      <c r="F574" s="7"/>
      <c r="G574" s="2" t="str">
        <f t="array" ref="G574">IF(ISBLANK(D574), "", INDEX(Categories!$B:$B,MATCH(D574,Categories!$A:$A,0)))</f>
        <v>Pet Shops</v>
      </c>
      <c r="H574" s="7" t="str">
        <f t="array" ref="H574">IF(ISBLANK(E574), "", INDEX(Categories!$B:$B,MATCH(E574,Categories!$A:$A,0)))</f>
        <v/>
      </c>
      <c r="I574" s="7" t="str">
        <f t="array" ref="I574">IF(ISBLANK(F574), "", INDEX(Categories!$B:$B,MATCH(F574,Categories!$A:$A,0)))</f>
        <v/>
      </c>
      <c r="J574" s="4"/>
      <c r="K574" s="4"/>
      <c r="L574" s="4"/>
      <c r="M574" s="4"/>
      <c r="N574" s="4"/>
      <c r="O574" s="4"/>
      <c r="P574" s="4"/>
      <c r="Q574" s="4"/>
    </row>
    <row r="575">
      <c r="A575" s="5">
        <v>574.0</v>
      </c>
      <c r="B575" s="5" t="s">
        <v>802</v>
      </c>
      <c r="C575" s="5" t="s">
        <v>803</v>
      </c>
      <c r="D575" s="6">
        <f>IFERROR(__xludf.DUMMYFUNCTION("SPLIT(MID(C575,2,LEN(C575)-2), "","")"),1255.0)</f>
        <v>1255</v>
      </c>
      <c r="E575" s="7"/>
      <c r="F575" s="7"/>
      <c r="G575" s="2" t="str">
        <f t="array" ref="G575">IF(ISBLANK(D575), "", INDEX(Categories!$B:$B,MATCH(D575,Categories!$A:$A,0)))</f>
        <v>Leather Clothing</v>
      </c>
      <c r="H575" s="7" t="str">
        <f t="array" ref="H575">IF(ISBLANK(E575), "", INDEX(Categories!$B:$B,MATCH(E575,Categories!$A:$A,0)))</f>
        <v/>
      </c>
      <c r="I575" s="7" t="str">
        <f t="array" ref="I575">IF(ISBLANK(F575), "", INDEX(Categories!$B:$B,MATCH(F575,Categories!$A:$A,0)))</f>
        <v/>
      </c>
      <c r="J575" s="4"/>
      <c r="K575" s="4"/>
      <c r="L575" s="4"/>
      <c r="M575" s="4"/>
      <c r="N575" s="4"/>
      <c r="O575" s="4"/>
      <c r="P575" s="4"/>
      <c r="Q575" s="4"/>
    </row>
    <row r="576">
      <c r="A576" s="5">
        <v>575.0</v>
      </c>
      <c r="B576" s="5" t="s">
        <v>804</v>
      </c>
      <c r="C576" s="5" t="s">
        <v>96</v>
      </c>
      <c r="D576" s="6">
        <f>IFERROR(__xludf.DUMMYFUNCTION("SPLIT(MID(C576,2,LEN(C576)-2), "","")"),572.0)</f>
        <v>572</v>
      </c>
      <c r="E576" s="7"/>
      <c r="F576" s="7"/>
      <c r="G576" s="2" t="str">
        <f t="array" ref="G576">IF(ISBLANK(D576), "", INDEX(Categories!$B:$B,MATCH(D576,Categories!$A:$A,0)))</f>
        <v>Groceries</v>
      </c>
      <c r="H576" s="7" t="str">
        <f t="array" ref="H576">IF(ISBLANK(E576), "", INDEX(Categories!$B:$B,MATCH(E576,Categories!$A:$A,0)))</f>
        <v/>
      </c>
      <c r="I576" s="7" t="str">
        <f t="array" ref="I576">IF(ISBLANK(F576), "", INDEX(Categories!$B:$B,MATCH(F576,Categories!$A:$A,0)))</f>
        <v/>
      </c>
      <c r="J576" s="4"/>
      <c r="K576" s="4"/>
      <c r="L576" s="4"/>
      <c r="M576" s="4"/>
      <c r="N576" s="4"/>
      <c r="O576" s="4"/>
      <c r="P576" s="4"/>
      <c r="Q576" s="4"/>
    </row>
    <row r="577">
      <c r="A577" s="5">
        <v>576.0</v>
      </c>
      <c r="B577" s="5" t="s">
        <v>804</v>
      </c>
      <c r="C577" s="5" t="s">
        <v>522</v>
      </c>
      <c r="D577" s="6">
        <f>IFERROR(__xludf.DUMMYFUNCTION("SPLIT(MID(C577,2,LEN(C577)-2), "","")"),683.0)</f>
        <v>683</v>
      </c>
      <c r="E577" s="7"/>
      <c r="F577" s="7"/>
      <c r="G577" s="2" t="str">
        <f t="array" ref="G577">IF(ISBLANK(D577), "", INDEX(Categories!$B:$B,MATCH(D577,Categories!$A:$A,0)))</f>
        <v>Bakeries</v>
      </c>
      <c r="H577" s="7" t="str">
        <f t="array" ref="H577">IF(ISBLANK(E577), "", INDEX(Categories!$B:$B,MATCH(E577,Categories!$A:$A,0)))</f>
        <v/>
      </c>
      <c r="I577" s="7" t="str">
        <f t="array" ref="I577">IF(ISBLANK(F577), "", INDEX(Categories!$B:$B,MATCH(F577,Categories!$A:$A,0)))</f>
        <v/>
      </c>
      <c r="J577" s="4"/>
      <c r="K577" s="4"/>
      <c r="L577" s="4"/>
      <c r="M577" s="4"/>
      <c r="N577" s="4"/>
      <c r="O577" s="4"/>
      <c r="P577" s="4"/>
      <c r="Q577" s="4"/>
    </row>
    <row r="578">
      <c r="A578" s="5">
        <v>577.0</v>
      </c>
      <c r="B578" s="5" t="s">
        <v>805</v>
      </c>
      <c r="C578" s="5" t="s">
        <v>18</v>
      </c>
      <c r="D578" s="6">
        <f>IFERROR(__xludf.DUMMYFUNCTION("SPLIT(MID(C578,2,LEN(C578)-2), "","")"),121.0)</f>
        <v>121</v>
      </c>
      <c r="E578" s="7"/>
      <c r="F578" s="7"/>
      <c r="G578" s="2" t="str">
        <f t="array" ref="G578">IF(ISBLANK(D578), "", INDEX(Categories!$B:$B,MATCH(D578,Categories!$A:$A,0)))</f>
        <v>Insurance</v>
      </c>
      <c r="H578" s="7" t="str">
        <f t="array" ref="H578">IF(ISBLANK(E578), "", INDEX(Categories!$B:$B,MATCH(E578,Categories!$A:$A,0)))</f>
        <v/>
      </c>
      <c r="I578" s="7" t="str">
        <f t="array" ref="I578">IF(ISBLANK(F578), "", INDEX(Categories!$B:$B,MATCH(F578,Categories!$A:$A,0)))</f>
        <v/>
      </c>
      <c r="J578" s="4"/>
      <c r="K578" s="4"/>
      <c r="L578" s="4"/>
      <c r="M578" s="4"/>
      <c r="N578" s="4"/>
      <c r="O578" s="4"/>
      <c r="P578" s="4"/>
      <c r="Q578" s="4"/>
    </row>
    <row r="579">
      <c r="A579" s="5">
        <v>578.0</v>
      </c>
      <c r="B579" s="5" t="s">
        <v>806</v>
      </c>
      <c r="C579" s="5" t="s">
        <v>43</v>
      </c>
      <c r="D579" s="6">
        <f>IFERROR(__xludf.DUMMYFUNCTION("SPLIT(MID(C579,2,LEN(C579)-2), "","")"),292.0)</f>
        <v>292</v>
      </c>
      <c r="E579" s="7"/>
      <c r="F579" s="7"/>
      <c r="G579" s="2" t="str">
        <f t="array" ref="G579">IF(ISBLANK(D579), "", INDEX(Categories!$B:$B,MATCH(D579,Categories!$A:$A,0)))</f>
        <v>Banks</v>
      </c>
      <c r="H579" s="7" t="str">
        <f t="array" ref="H579">IF(ISBLANK(E579), "", INDEX(Categories!$B:$B,MATCH(E579,Categories!$A:$A,0)))</f>
        <v/>
      </c>
      <c r="I579" s="7" t="str">
        <f t="array" ref="I579">IF(ISBLANK(F579), "", INDEX(Categories!$B:$B,MATCH(F579,Categories!$A:$A,0)))</f>
        <v/>
      </c>
      <c r="J579" s="4"/>
      <c r="K579" s="4"/>
      <c r="L579" s="4"/>
      <c r="M579" s="4"/>
      <c r="N579" s="4"/>
      <c r="O579" s="4"/>
      <c r="P579" s="4"/>
      <c r="Q579" s="4"/>
    </row>
    <row r="580">
      <c r="A580" s="5">
        <v>579.0</v>
      </c>
      <c r="B580" s="5" t="s">
        <v>807</v>
      </c>
      <c r="C580" s="5" t="s">
        <v>808</v>
      </c>
      <c r="D580" s="6">
        <f>IFERROR(__xludf.DUMMYFUNCTION("SPLIT(MID(C580,2,LEN(C580)-2), "","")"),271.0)</f>
        <v>271</v>
      </c>
      <c r="E580" s="7"/>
      <c r="F580" s="7"/>
      <c r="G580" s="2" t="str">
        <f t="array" ref="G580">IF(ISBLANK(D580), "", INDEX(Categories!$B:$B,MATCH(D580,Categories!$A:$A,0)))</f>
        <v>Office Furniture &amp; Equipment Dealers</v>
      </c>
      <c r="H580" s="7" t="str">
        <f t="array" ref="H580">IF(ISBLANK(E580), "", INDEX(Categories!$B:$B,MATCH(E580,Categories!$A:$A,0)))</f>
        <v/>
      </c>
      <c r="I580" s="7" t="str">
        <f t="array" ref="I580">IF(ISBLANK(F580), "", INDEX(Categories!$B:$B,MATCH(F580,Categories!$A:$A,0)))</f>
        <v/>
      </c>
      <c r="J580" s="4"/>
      <c r="K580" s="4"/>
      <c r="L580" s="4"/>
      <c r="M580" s="4"/>
      <c r="N580" s="4"/>
      <c r="O580" s="4"/>
      <c r="P580" s="4"/>
      <c r="Q580" s="4"/>
    </row>
    <row r="581">
      <c r="A581" s="5">
        <v>580.0</v>
      </c>
      <c r="B581" s="5" t="s">
        <v>809</v>
      </c>
      <c r="C581" s="5" t="s">
        <v>335</v>
      </c>
      <c r="D581" s="6">
        <f>IFERROR(__xludf.DUMMYFUNCTION("SPLIT(MID(C581,2,LEN(C581)-2), "","")"),824.0)</f>
        <v>824</v>
      </c>
      <c r="E581" s="7"/>
      <c r="F581" s="7"/>
      <c r="G581" s="2" t="str">
        <f t="array" ref="G581">IF(ISBLANK(D581), "", INDEX(Categories!$B:$B,MATCH(D581,Categories!$A:$A,0)))</f>
        <v>Community Organizations</v>
      </c>
      <c r="H581" s="7" t="str">
        <f t="array" ref="H581">IF(ISBLANK(E581), "", INDEX(Categories!$B:$B,MATCH(E581,Categories!$A:$A,0)))</f>
        <v/>
      </c>
      <c r="I581" s="7" t="str">
        <f t="array" ref="I581">IF(ISBLANK(F581), "", INDEX(Categories!$B:$B,MATCH(F581,Categories!$A:$A,0)))</f>
        <v/>
      </c>
      <c r="J581" s="4"/>
      <c r="K581" s="4"/>
      <c r="L581" s="4"/>
      <c r="M581" s="4"/>
      <c r="N581" s="4"/>
      <c r="O581" s="4"/>
      <c r="P581" s="4"/>
      <c r="Q581" s="4"/>
    </row>
    <row r="582">
      <c r="A582" s="5">
        <v>581.0</v>
      </c>
      <c r="B582" s="5" t="s">
        <v>810</v>
      </c>
      <c r="C582" s="5" t="s">
        <v>811</v>
      </c>
      <c r="D582" s="6">
        <f>IFERROR(__xludf.DUMMYFUNCTION("SPLIT(MID(C582,2,LEN(C582)-2), "","")"),838.0)</f>
        <v>838</v>
      </c>
      <c r="E582" s="7"/>
      <c r="F582" s="7"/>
      <c r="G582" s="2" t="str">
        <f t="array" ref="G582">IF(ISBLANK(D582), "", INDEX(Categories!$B:$B,MATCH(D582,Categories!$A:$A,0)))</f>
        <v>Womens Organizations</v>
      </c>
      <c r="H582" s="7" t="str">
        <f t="array" ref="H582">IF(ISBLANK(E582), "", INDEX(Categories!$B:$B,MATCH(E582,Categories!$A:$A,0)))</f>
        <v/>
      </c>
      <c r="I582" s="7" t="str">
        <f t="array" ref="I582">IF(ISBLANK(F582), "", INDEX(Categories!$B:$B,MATCH(F582,Categories!$A:$A,0)))</f>
        <v/>
      </c>
      <c r="J582" s="4"/>
      <c r="K582" s="4"/>
      <c r="L582" s="4"/>
      <c r="M582" s="4"/>
      <c r="N582" s="4"/>
      <c r="O582" s="4"/>
      <c r="P582" s="4"/>
      <c r="Q582" s="4"/>
    </row>
    <row r="583">
      <c r="A583" s="5">
        <v>582.0</v>
      </c>
      <c r="B583" s="5" t="s">
        <v>812</v>
      </c>
      <c r="C583" s="5" t="s">
        <v>813</v>
      </c>
      <c r="D583" s="6">
        <f>IFERROR(__xludf.DUMMYFUNCTION("SPLIT(MID(C583,2,LEN(C583)-2), "","")"),2429.0)</f>
        <v>2429</v>
      </c>
      <c r="E583" s="7"/>
      <c r="F583" s="7"/>
      <c r="G583" s="2" t="str">
        <f t="array" ref="G583">IF(ISBLANK(D583), "", INDEX(Categories!$B:$B,MATCH(D583,Categories!$A:$A,0)))</f>
        <v>Laundry Services</v>
      </c>
      <c r="H583" s="7" t="str">
        <f t="array" ref="H583">IF(ISBLANK(E583), "", INDEX(Categories!$B:$B,MATCH(E583,Categories!$A:$A,0)))</f>
        <v/>
      </c>
      <c r="I583" s="7" t="str">
        <f t="array" ref="I583">IF(ISBLANK(F583), "", INDEX(Categories!$B:$B,MATCH(F583,Categories!$A:$A,0)))</f>
        <v/>
      </c>
      <c r="J583" s="4"/>
      <c r="K583" s="4"/>
      <c r="L583" s="4"/>
      <c r="M583" s="4"/>
      <c r="N583" s="4"/>
      <c r="O583" s="4"/>
      <c r="P583" s="4"/>
      <c r="Q583" s="4"/>
    </row>
    <row r="584">
      <c r="A584" s="5">
        <v>583.0</v>
      </c>
      <c r="B584" s="5" t="s">
        <v>814</v>
      </c>
      <c r="C584" s="5" t="s">
        <v>115</v>
      </c>
      <c r="D584" s="6">
        <f>IFERROR(__xludf.DUMMYFUNCTION("SPLIT(MID(C584,2,LEN(C584)-2), "","")"),1272.0)</f>
        <v>1272</v>
      </c>
      <c r="E584" s="7"/>
      <c r="F584" s="7"/>
      <c r="G584" s="2" t="str">
        <f t="array" ref="G584">IF(ISBLANK(D584), "", INDEX(Categories!$B:$B,MATCH(D584,Categories!$A:$A,0)))</f>
        <v>Womens Apparel</v>
      </c>
      <c r="H584" s="7" t="str">
        <f t="array" ref="H584">IF(ISBLANK(E584), "", INDEX(Categories!$B:$B,MATCH(E584,Categories!$A:$A,0)))</f>
        <v/>
      </c>
      <c r="I584" s="7" t="str">
        <f t="array" ref="I584">IF(ISBLANK(F584), "", INDEX(Categories!$B:$B,MATCH(F584,Categories!$A:$A,0)))</f>
        <v/>
      </c>
      <c r="J584" s="4"/>
      <c r="K584" s="4"/>
      <c r="L584" s="4"/>
      <c r="M584" s="4"/>
      <c r="N584" s="4"/>
      <c r="O584" s="4"/>
      <c r="P584" s="4"/>
      <c r="Q584" s="4"/>
    </row>
    <row r="585">
      <c r="A585" s="5">
        <v>584.0</v>
      </c>
      <c r="B585" s="5" t="s">
        <v>815</v>
      </c>
      <c r="C585" s="5" t="s">
        <v>432</v>
      </c>
      <c r="D585" s="6">
        <f>IFERROR(__xludf.DUMMYFUNCTION("SPLIT(MID(C585,2,LEN(C585)-2), "","")"),1292.0)</f>
        <v>1292</v>
      </c>
      <c r="E585" s="7"/>
      <c r="F585" s="7"/>
      <c r="G585" s="2" t="str">
        <f t="array" ref="G585">IF(ISBLANK(D585), "", INDEX(Categories!$B:$B,MATCH(D585,Categories!$A:$A,0)))</f>
        <v>Gas Industrial Medical Etc Cylinder &amp; Bulk</v>
      </c>
      <c r="H585" s="7" t="str">
        <f t="array" ref="H585">IF(ISBLANK(E585), "", INDEX(Categories!$B:$B,MATCH(E585,Categories!$A:$A,0)))</f>
        <v/>
      </c>
      <c r="I585" s="7" t="str">
        <f t="array" ref="I585">IF(ISBLANK(F585), "", INDEX(Categories!$B:$B,MATCH(F585,Categories!$A:$A,0)))</f>
        <v/>
      </c>
      <c r="J585" s="4"/>
      <c r="K585" s="4"/>
      <c r="L585" s="4"/>
      <c r="M585" s="4"/>
      <c r="N585" s="4"/>
      <c r="O585" s="4"/>
      <c r="P585" s="4"/>
      <c r="Q585" s="4"/>
    </row>
    <row r="586">
      <c r="A586" s="5">
        <v>585.0</v>
      </c>
      <c r="B586" s="5" t="s">
        <v>816</v>
      </c>
      <c r="C586" s="5" t="s">
        <v>157</v>
      </c>
      <c r="D586" s="6">
        <f>IFERROR(__xludf.DUMMYFUNCTION("SPLIT(MID(C586,2,LEN(C586)-2), "","")"),195.0)</f>
        <v>195</v>
      </c>
      <c r="E586" s="7"/>
      <c r="F586" s="7"/>
      <c r="G586" s="2" t="str">
        <f t="array" ref="G586">IF(ISBLANK(D586), "", INDEX(Categories!$B:$B,MATCH(D586,Categories!$A:$A,0)))</f>
        <v>Child Care Centers &amp; Services</v>
      </c>
      <c r="H586" s="7" t="str">
        <f t="array" ref="H586">IF(ISBLANK(E586), "", INDEX(Categories!$B:$B,MATCH(E586,Categories!$A:$A,0)))</f>
        <v/>
      </c>
      <c r="I586" s="7" t="str">
        <f t="array" ref="I586">IF(ISBLANK(F586), "", INDEX(Categories!$B:$B,MATCH(F586,Categories!$A:$A,0)))</f>
        <v/>
      </c>
      <c r="J586" s="4"/>
      <c r="K586" s="4"/>
      <c r="L586" s="4"/>
      <c r="M586" s="4"/>
      <c r="N586" s="4"/>
      <c r="O586" s="4"/>
      <c r="P586" s="4"/>
      <c r="Q586" s="4"/>
    </row>
    <row r="587">
      <c r="A587" s="5">
        <v>586.0</v>
      </c>
      <c r="B587" s="5" t="s">
        <v>817</v>
      </c>
      <c r="C587" s="5" t="s">
        <v>62</v>
      </c>
      <c r="D587" s="6">
        <f>IFERROR(__xludf.DUMMYFUNCTION("SPLIT(MID(C587,2,LEN(C587)-2), "","")"),242.0)</f>
        <v>242</v>
      </c>
      <c r="E587" s="7"/>
      <c r="F587" s="7"/>
      <c r="G587" s="2" t="str">
        <f t="array" ref="G587">IF(ISBLANK(D587), "", INDEX(Categories!$B:$B,MATCH(D587,Categories!$A:$A,0)))</f>
        <v>Restaurants Pizza</v>
      </c>
      <c r="H587" s="7" t="str">
        <f t="array" ref="H587">IF(ISBLANK(E587), "", INDEX(Categories!$B:$B,MATCH(E587,Categories!$A:$A,0)))</f>
        <v/>
      </c>
      <c r="I587" s="7" t="str">
        <f t="array" ref="I587">IF(ISBLANK(F587), "", INDEX(Categories!$B:$B,MATCH(F587,Categories!$A:$A,0)))</f>
        <v/>
      </c>
      <c r="J587" s="4"/>
      <c r="K587" s="4"/>
      <c r="L587" s="4"/>
      <c r="M587" s="4"/>
      <c r="N587" s="4"/>
      <c r="O587" s="4"/>
      <c r="P587" s="4"/>
      <c r="Q587" s="4"/>
    </row>
    <row r="588">
      <c r="A588" s="5">
        <v>587.0</v>
      </c>
      <c r="B588" s="5" t="s">
        <v>818</v>
      </c>
      <c r="C588" s="5" t="s">
        <v>10</v>
      </c>
      <c r="D588" s="6">
        <f>IFERROR(__xludf.DUMMYFUNCTION("SPLIT(MID(C588,2,LEN(C588)-2), "","")"),1168.0)</f>
        <v>1168</v>
      </c>
      <c r="E588" s="7"/>
      <c r="F588" s="7"/>
      <c r="G588" s="2" t="str">
        <f t="array" ref="G588">IF(ISBLANK(D588), "", INDEX(Categories!$B:$B,MATCH(D588,Categories!$A:$A,0)))</f>
        <v>Convenience Stores</v>
      </c>
      <c r="H588" s="7" t="str">
        <f t="array" ref="H588">IF(ISBLANK(E588), "", INDEX(Categories!$B:$B,MATCH(E588,Categories!$A:$A,0)))</f>
        <v/>
      </c>
      <c r="I588" s="7" t="str">
        <f t="array" ref="I588">IF(ISBLANK(F588), "", INDEX(Categories!$B:$B,MATCH(F588,Categories!$A:$A,0)))</f>
        <v/>
      </c>
      <c r="J588" s="4"/>
      <c r="K588" s="4"/>
      <c r="L588" s="4"/>
      <c r="M588" s="4"/>
      <c r="N588" s="4"/>
      <c r="O588" s="4"/>
      <c r="P588" s="4"/>
      <c r="Q588" s="4"/>
    </row>
    <row r="589">
      <c r="A589" s="5">
        <v>588.0</v>
      </c>
      <c r="B589" s="5" t="s">
        <v>819</v>
      </c>
      <c r="C589" s="5" t="s">
        <v>69</v>
      </c>
      <c r="D589" s="6">
        <f>IFERROR(__xludf.DUMMYFUNCTION("SPLIT(MID(C589,2,LEN(C589)-2), "","")"),293.0)</f>
        <v>293</v>
      </c>
      <c r="E589" s="7"/>
      <c r="F589" s="7"/>
      <c r="G589" s="2" t="str">
        <f t="array" ref="G589">IF(ISBLANK(D589), "", INDEX(Categories!$B:$B,MATCH(D589,Categories!$A:$A,0)))</f>
        <v>Banks Commercial</v>
      </c>
      <c r="H589" s="7" t="str">
        <f t="array" ref="H589">IF(ISBLANK(E589), "", INDEX(Categories!$B:$B,MATCH(E589,Categories!$A:$A,0)))</f>
        <v/>
      </c>
      <c r="I589" s="7" t="str">
        <f t="array" ref="I589">IF(ISBLANK(F589), "", INDEX(Categories!$B:$B,MATCH(F589,Categories!$A:$A,0)))</f>
        <v/>
      </c>
      <c r="J589" s="4"/>
      <c r="K589" s="4"/>
      <c r="L589" s="4"/>
      <c r="M589" s="4"/>
      <c r="N589" s="4"/>
      <c r="O589" s="4"/>
      <c r="P589" s="4"/>
      <c r="Q589" s="4"/>
    </row>
    <row r="590">
      <c r="A590" s="5">
        <v>589.0</v>
      </c>
      <c r="B590" s="5" t="s">
        <v>820</v>
      </c>
      <c r="C590" s="5" t="s">
        <v>87</v>
      </c>
      <c r="D590" s="6">
        <f>IFERROR(__xludf.DUMMYFUNCTION("SPLIT(MID(C590,2,LEN(C590)-2), "","")"),168.0)</f>
        <v>168</v>
      </c>
      <c r="E590" s="7"/>
      <c r="F590" s="7"/>
      <c r="G590" s="2" t="str">
        <f t="array" ref="G590">IF(ISBLANK(D590), "", INDEX(Categories!$B:$B,MATCH(D590,Categories!$A:$A,0)))</f>
        <v>Hotels &amp; Motels</v>
      </c>
      <c r="H590" s="7" t="str">
        <f t="array" ref="H590">IF(ISBLANK(E590), "", INDEX(Categories!$B:$B,MATCH(E590,Categories!$A:$A,0)))</f>
        <v/>
      </c>
      <c r="I590" s="7" t="str">
        <f t="array" ref="I590">IF(ISBLANK(F590), "", INDEX(Categories!$B:$B,MATCH(F590,Categories!$A:$A,0)))</f>
        <v/>
      </c>
      <c r="J590" s="4"/>
      <c r="K590" s="4"/>
      <c r="L590" s="4"/>
      <c r="M590" s="4"/>
      <c r="N590" s="4"/>
      <c r="O590" s="4"/>
      <c r="P590" s="4"/>
      <c r="Q590" s="4"/>
    </row>
    <row r="591">
      <c r="A591" s="5">
        <v>590.0</v>
      </c>
      <c r="B591" s="5" t="s">
        <v>821</v>
      </c>
      <c r="C591" s="5" t="s">
        <v>497</v>
      </c>
      <c r="D591" s="6">
        <f>IFERROR(__xludf.DUMMYFUNCTION("SPLIT(MID(C591,2,LEN(C591)-2), "","")"),2348.0)</f>
        <v>2348</v>
      </c>
      <c r="E591" s="7"/>
      <c r="F591" s="7"/>
      <c r="G591" s="2" t="str">
        <f t="array" ref="G591">IF(ISBLANK(D591), "", INDEX(Categories!$B:$B,MATCH(D591,Categories!$A:$A,0)))</f>
        <v>Real Estate - Development</v>
      </c>
      <c r="H591" s="7" t="str">
        <f t="array" ref="H591">IF(ISBLANK(E591), "", INDEX(Categories!$B:$B,MATCH(E591,Categories!$A:$A,0)))</f>
        <v/>
      </c>
      <c r="I591" s="7" t="str">
        <f t="array" ref="I591">IF(ISBLANK(F591), "", INDEX(Categories!$B:$B,MATCH(F591,Categories!$A:$A,0)))</f>
        <v/>
      </c>
      <c r="J591" s="4"/>
      <c r="K591" s="4"/>
      <c r="L591" s="4"/>
      <c r="M591" s="4"/>
      <c r="N591" s="4"/>
      <c r="O591" s="4"/>
      <c r="P591" s="4"/>
      <c r="Q591" s="4"/>
    </row>
    <row r="592">
      <c r="A592" s="5">
        <v>591.0</v>
      </c>
      <c r="B592" s="5" t="s">
        <v>822</v>
      </c>
      <c r="C592" s="5" t="s">
        <v>823</v>
      </c>
      <c r="D592" s="6">
        <f>IFERROR(__xludf.DUMMYFUNCTION("SPLIT(MID(C592,2,LEN(C592)-2), "","")"),1575.0)</f>
        <v>1575</v>
      </c>
      <c r="E592" s="7"/>
      <c r="F592" s="7"/>
      <c r="G592" s="2" t="str">
        <f t="array" ref="G592">IF(ISBLANK(D592), "", INDEX(Categories!$B:$B,MATCH(D592,Categories!$A:$A,0)))</f>
        <v>Party Centers</v>
      </c>
      <c r="H592" s="7" t="str">
        <f t="array" ref="H592">IF(ISBLANK(E592), "", INDEX(Categories!$B:$B,MATCH(E592,Categories!$A:$A,0)))</f>
        <v/>
      </c>
      <c r="I592" s="7" t="str">
        <f t="array" ref="I592">IF(ISBLANK(F592), "", INDEX(Categories!$B:$B,MATCH(F592,Categories!$A:$A,0)))</f>
        <v/>
      </c>
      <c r="J592" s="4"/>
      <c r="K592" s="4"/>
      <c r="L592" s="4"/>
      <c r="M592" s="4"/>
      <c r="N592" s="4"/>
      <c r="O592" s="4"/>
      <c r="P592" s="4"/>
      <c r="Q592" s="4"/>
    </row>
    <row r="593">
      <c r="A593" s="5">
        <v>592.0</v>
      </c>
      <c r="B593" s="5" t="s">
        <v>824</v>
      </c>
      <c r="C593" s="5" t="s">
        <v>38</v>
      </c>
      <c r="D593" s="6">
        <f>IFERROR(__xludf.DUMMYFUNCTION("SPLIT(MID(C593,2,LEN(C593)-2), "","")"),933.0)</f>
        <v>933</v>
      </c>
      <c r="E593" s="7"/>
      <c r="F593" s="7"/>
      <c r="G593" s="2" t="str">
        <f t="array" ref="G593">IF(ISBLANK(D593), "", INDEX(Categories!$B:$B,MATCH(D593,Categories!$A:$A,0)))</f>
        <v>Loans &amp; Mortgages</v>
      </c>
      <c r="H593" s="7" t="str">
        <f t="array" ref="H593">IF(ISBLANK(E593), "", INDEX(Categories!$B:$B,MATCH(E593,Categories!$A:$A,0)))</f>
        <v/>
      </c>
      <c r="I593" s="7" t="str">
        <f t="array" ref="I593">IF(ISBLANK(F593), "", INDEX(Categories!$B:$B,MATCH(F593,Categories!$A:$A,0)))</f>
        <v/>
      </c>
      <c r="J593" s="4"/>
      <c r="K593" s="4"/>
      <c r="L593" s="4"/>
      <c r="M593" s="4"/>
      <c r="N593" s="4"/>
      <c r="O593" s="4"/>
      <c r="P593" s="4"/>
      <c r="Q593" s="4"/>
    </row>
    <row r="594">
      <c r="A594" s="5">
        <v>593.0</v>
      </c>
      <c r="B594" s="5" t="s">
        <v>825</v>
      </c>
      <c r="C594" s="5" t="s">
        <v>826</v>
      </c>
      <c r="D594" s="6">
        <f>IFERROR(__xludf.DUMMYFUNCTION("SPLIT(MID(C594,2,LEN(C594)-2), "","")"),2316.0)</f>
        <v>2316</v>
      </c>
      <c r="E594" s="7"/>
      <c r="F594" s="7"/>
      <c r="G594" s="2" t="str">
        <f t="array" ref="G594">IF(ISBLANK(D594), "", INDEX(Categories!$B:$B,MATCH(D594,Categories!$A:$A,0)))</f>
        <v>Lawn &amp; Grounds Maintenance</v>
      </c>
      <c r="H594" s="7" t="str">
        <f t="array" ref="H594">IF(ISBLANK(E594), "", INDEX(Categories!$B:$B,MATCH(E594,Categories!$A:$A,0)))</f>
        <v/>
      </c>
      <c r="I594" s="7" t="str">
        <f t="array" ref="I594">IF(ISBLANK(F594), "", INDEX(Categories!$B:$B,MATCH(F594,Categories!$A:$A,0)))</f>
        <v/>
      </c>
      <c r="J594" s="4"/>
      <c r="K594" s="4"/>
      <c r="L594" s="4"/>
      <c r="M594" s="4"/>
      <c r="N594" s="4"/>
      <c r="O594" s="4"/>
      <c r="P594" s="4"/>
      <c r="Q594" s="4"/>
    </row>
    <row r="595">
      <c r="A595" s="5">
        <v>594.0</v>
      </c>
      <c r="B595" s="5" t="s">
        <v>827</v>
      </c>
      <c r="C595" s="5" t="s">
        <v>38</v>
      </c>
      <c r="D595" s="6">
        <f>IFERROR(__xludf.DUMMYFUNCTION("SPLIT(MID(C595,2,LEN(C595)-2), "","")"),933.0)</f>
        <v>933</v>
      </c>
      <c r="E595" s="7"/>
      <c r="F595" s="7"/>
      <c r="G595" s="2" t="str">
        <f t="array" ref="G595">IF(ISBLANK(D595), "", INDEX(Categories!$B:$B,MATCH(D595,Categories!$A:$A,0)))</f>
        <v>Loans &amp; Mortgages</v>
      </c>
      <c r="H595" s="7" t="str">
        <f t="array" ref="H595">IF(ISBLANK(E595), "", INDEX(Categories!$B:$B,MATCH(E595,Categories!$A:$A,0)))</f>
        <v/>
      </c>
      <c r="I595" s="7" t="str">
        <f t="array" ref="I595">IF(ISBLANK(F595), "", INDEX(Categories!$B:$B,MATCH(F595,Categories!$A:$A,0)))</f>
        <v/>
      </c>
      <c r="J595" s="4"/>
      <c r="K595" s="4"/>
      <c r="L595" s="4"/>
      <c r="M595" s="4"/>
      <c r="N595" s="4"/>
      <c r="O595" s="4"/>
      <c r="P595" s="4"/>
      <c r="Q595" s="4"/>
    </row>
    <row r="596">
      <c r="A596" s="5">
        <v>595.0</v>
      </c>
      <c r="B596" s="5" t="s">
        <v>828</v>
      </c>
      <c r="C596" s="5" t="s">
        <v>38</v>
      </c>
      <c r="D596" s="6">
        <f>IFERROR(__xludf.DUMMYFUNCTION("SPLIT(MID(C596,2,LEN(C596)-2), "","")"),933.0)</f>
        <v>933</v>
      </c>
      <c r="E596" s="7"/>
      <c r="F596" s="7"/>
      <c r="G596" s="2" t="str">
        <f t="array" ref="G596">IF(ISBLANK(D596), "", INDEX(Categories!$B:$B,MATCH(D596,Categories!$A:$A,0)))</f>
        <v>Loans &amp; Mortgages</v>
      </c>
      <c r="H596" s="7" t="str">
        <f t="array" ref="H596">IF(ISBLANK(E596), "", INDEX(Categories!$B:$B,MATCH(E596,Categories!$A:$A,0)))</f>
        <v/>
      </c>
      <c r="I596" s="7" t="str">
        <f t="array" ref="I596">IF(ISBLANK(F596), "", INDEX(Categories!$B:$B,MATCH(F596,Categories!$A:$A,0)))</f>
        <v/>
      </c>
      <c r="J596" s="4"/>
      <c r="K596" s="4"/>
      <c r="L596" s="4"/>
      <c r="M596" s="4"/>
      <c r="N596" s="4"/>
      <c r="O596" s="4"/>
      <c r="P596" s="4"/>
      <c r="Q596" s="4"/>
    </row>
    <row r="597">
      <c r="A597" s="5">
        <v>596.0</v>
      </c>
      <c r="B597" s="5" t="s">
        <v>829</v>
      </c>
      <c r="C597" s="5" t="s">
        <v>170</v>
      </c>
      <c r="D597" s="6">
        <f>IFERROR(__xludf.DUMMYFUNCTION("SPLIT(MID(C597,2,LEN(C597)-2), "","")"),189.0)</f>
        <v>189</v>
      </c>
      <c r="E597" s="7"/>
      <c r="F597" s="7"/>
      <c r="G597" s="2" t="str">
        <f t="array" ref="G597">IF(ISBLANK(D597), "", INDEX(Categories!$B:$B,MATCH(D597,Categories!$A:$A,0)))</f>
        <v>Pharmacies</v>
      </c>
      <c r="H597" s="7" t="str">
        <f t="array" ref="H597">IF(ISBLANK(E597), "", INDEX(Categories!$B:$B,MATCH(E597,Categories!$A:$A,0)))</f>
        <v/>
      </c>
      <c r="I597" s="7" t="str">
        <f t="array" ref="I597">IF(ISBLANK(F597), "", INDEX(Categories!$B:$B,MATCH(F597,Categories!$A:$A,0)))</f>
        <v/>
      </c>
      <c r="J597" s="4"/>
      <c r="K597" s="4"/>
      <c r="L597" s="4"/>
      <c r="M597" s="4"/>
      <c r="N597" s="4"/>
      <c r="O597" s="4"/>
      <c r="P597" s="4"/>
      <c r="Q597" s="4"/>
    </row>
    <row r="598">
      <c r="A598" s="5">
        <v>597.0</v>
      </c>
      <c r="B598" s="5" t="s">
        <v>830</v>
      </c>
      <c r="C598" s="5" t="s">
        <v>553</v>
      </c>
      <c r="D598" s="6">
        <f>IFERROR(__xludf.DUMMYFUNCTION("SPLIT(MID(C598,2,LEN(C598)-2), "","")"),739.0)</f>
        <v>739</v>
      </c>
      <c r="E598" s="7"/>
      <c r="F598" s="7"/>
      <c r="G598" s="2" t="str">
        <f t="array" ref="G598">IF(ISBLANK(D598), "", INDEX(Categories!$B:$B,MATCH(D598,Categories!$A:$A,0)))</f>
        <v>Shoes &amp; Shoe Repairs</v>
      </c>
      <c r="H598" s="7" t="str">
        <f t="array" ref="H598">IF(ISBLANK(E598), "", INDEX(Categories!$B:$B,MATCH(E598,Categories!$A:$A,0)))</f>
        <v/>
      </c>
      <c r="I598" s="7" t="str">
        <f t="array" ref="I598">IF(ISBLANK(F598), "", INDEX(Categories!$B:$B,MATCH(F598,Categories!$A:$A,0)))</f>
        <v/>
      </c>
      <c r="J598" s="4"/>
      <c r="K598" s="4"/>
      <c r="L598" s="4"/>
      <c r="M598" s="4"/>
      <c r="N598" s="4"/>
      <c r="O598" s="4"/>
      <c r="P598" s="4"/>
      <c r="Q598" s="4"/>
    </row>
    <row r="599">
      <c r="A599" s="5">
        <v>598.0</v>
      </c>
      <c r="B599" s="5" t="s">
        <v>831</v>
      </c>
      <c r="C599" s="5" t="s">
        <v>484</v>
      </c>
      <c r="D599" s="6">
        <f>IFERROR(__xludf.DUMMYFUNCTION("SPLIT(MID(C599,2,LEN(C599)-2), "","")"),573.0)</f>
        <v>573</v>
      </c>
      <c r="E599" s="7"/>
      <c r="F599" s="7"/>
      <c r="G599" s="2" t="str">
        <f t="array" ref="G599">IF(ISBLANK(D599), "", INDEX(Categories!$B:$B,MATCH(D599,Categories!$A:$A,0)))</f>
        <v>Bagels</v>
      </c>
      <c r="H599" s="7" t="str">
        <f t="array" ref="H599">IF(ISBLANK(E599), "", INDEX(Categories!$B:$B,MATCH(E599,Categories!$A:$A,0)))</f>
        <v/>
      </c>
      <c r="I599" s="7" t="str">
        <f t="array" ref="I599">IF(ISBLANK(F599), "", INDEX(Categories!$B:$B,MATCH(F599,Categories!$A:$A,0)))</f>
        <v/>
      </c>
      <c r="J599" s="4"/>
      <c r="K599" s="4"/>
      <c r="L599" s="4"/>
      <c r="M599" s="4"/>
      <c r="N599" s="4"/>
      <c r="O599" s="4"/>
      <c r="P599" s="4"/>
      <c r="Q599" s="4"/>
    </row>
    <row r="600">
      <c r="A600" s="5">
        <v>599.0</v>
      </c>
      <c r="B600" s="5" t="s">
        <v>832</v>
      </c>
      <c r="C600" s="5" t="s">
        <v>833</v>
      </c>
      <c r="D600" s="6">
        <f>IFERROR(__xludf.DUMMYFUNCTION("SPLIT(MID(C600,2,LEN(C600)-2), "","")"),125.0)</f>
        <v>125</v>
      </c>
      <c r="E600" s="7"/>
      <c r="F600" s="7"/>
      <c r="G600" s="2" t="str">
        <f t="array" ref="G600">IF(ISBLANK(D600), "", INDEX(Categories!$B:$B,MATCH(D600,Categories!$A:$A,0)))</f>
        <v>Health Insurance Plans</v>
      </c>
      <c r="H600" s="7" t="str">
        <f t="array" ref="H600">IF(ISBLANK(E600), "", INDEX(Categories!$B:$B,MATCH(E600,Categories!$A:$A,0)))</f>
        <v/>
      </c>
      <c r="I600" s="7" t="str">
        <f t="array" ref="I600">IF(ISBLANK(F600), "", INDEX(Categories!$B:$B,MATCH(F600,Categories!$A:$A,0)))</f>
        <v/>
      </c>
      <c r="J600" s="4"/>
      <c r="K600" s="4"/>
      <c r="L600" s="4"/>
      <c r="M600" s="4"/>
      <c r="N600" s="4"/>
      <c r="O600" s="4"/>
      <c r="P600" s="4"/>
      <c r="Q600" s="4"/>
    </row>
    <row r="601">
      <c r="A601" s="5">
        <v>600.0</v>
      </c>
      <c r="B601" s="5" t="s">
        <v>834</v>
      </c>
      <c r="C601" s="5" t="s">
        <v>45</v>
      </c>
      <c r="D601" s="6">
        <f>IFERROR(__xludf.DUMMYFUNCTION("SPLIT(MID(C601,2,LEN(C601)-2), "","")"),234.0)</f>
        <v>234</v>
      </c>
      <c r="E601" s="7"/>
      <c r="F601" s="7"/>
      <c r="G601" s="2" t="str">
        <f t="array" ref="G601">IF(ISBLANK(D601), "", INDEX(Categories!$B:$B,MATCH(D601,Categories!$A:$A,0)))</f>
        <v>Ice Cream Parlors Consumer</v>
      </c>
      <c r="H601" s="7" t="str">
        <f t="array" ref="H601">IF(ISBLANK(E601), "", INDEX(Categories!$B:$B,MATCH(E601,Categories!$A:$A,0)))</f>
        <v/>
      </c>
      <c r="I601" s="7" t="str">
        <f t="array" ref="I601">IF(ISBLANK(F601), "", INDEX(Categories!$B:$B,MATCH(F601,Categories!$A:$A,0)))</f>
        <v/>
      </c>
      <c r="J601" s="4"/>
      <c r="K601" s="4"/>
      <c r="L601" s="4"/>
      <c r="M601" s="4"/>
      <c r="N601" s="4"/>
      <c r="O601" s="4"/>
      <c r="P601" s="4"/>
      <c r="Q601" s="4"/>
    </row>
    <row r="602">
      <c r="A602" s="5">
        <v>601.0</v>
      </c>
      <c r="B602" s="5" t="s">
        <v>835</v>
      </c>
      <c r="C602" s="5" t="s">
        <v>303</v>
      </c>
      <c r="D602" s="6">
        <f>IFERROR(__xludf.DUMMYFUNCTION("SPLIT(MID(C602,2,LEN(C602)-2), "","")"),1241.0)</f>
        <v>1241</v>
      </c>
      <c r="E602" s="7"/>
      <c r="F602" s="7"/>
      <c r="G602" s="2" t="str">
        <f t="array" ref="G602">IF(ISBLANK(D602), "", INDEX(Categories!$B:$B,MATCH(D602,Categories!$A:$A,0)))</f>
        <v>Clothing &amp; Accessories</v>
      </c>
      <c r="H602" s="7" t="str">
        <f t="array" ref="H602">IF(ISBLANK(E602), "", INDEX(Categories!$B:$B,MATCH(E602,Categories!$A:$A,0)))</f>
        <v/>
      </c>
      <c r="I602" s="7" t="str">
        <f t="array" ref="I602">IF(ISBLANK(F602), "", INDEX(Categories!$B:$B,MATCH(F602,Categories!$A:$A,0)))</f>
        <v/>
      </c>
      <c r="J602" s="4"/>
      <c r="K602" s="4"/>
      <c r="L602" s="4"/>
      <c r="M602" s="4"/>
      <c r="N602" s="4"/>
      <c r="O602" s="4"/>
      <c r="P602" s="4"/>
      <c r="Q602" s="4"/>
    </row>
    <row r="603">
      <c r="A603" s="5">
        <v>602.0</v>
      </c>
      <c r="B603" s="5" t="s">
        <v>836</v>
      </c>
      <c r="C603" s="5" t="s">
        <v>837</v>
      </c>
      <c r="D603" s="6">
        <f>IFERROR(__xludf.DUMMYFUNCTION("SPLIT(MID(C603,2,LEN(C603)-2), "","")"),2768.0)</f>
        <v>2768</v>
      </c>
      <c r="E603" s="7"/>
      <c r="F603" s="7"/>
      <c r="G603" s="2" t="str">
        <f t="array" ref="G603">IF(ISBLANK(D603), "", INDEX(Categories!$B:$B,MATCH(D603,Categories!$A:$A,0)))</f>
        <v>Building Materials &amp; Supplies</v>
      </c>
      <c r="H603" s="7" t="str">
        <f t="array" ref="H603">IF(ISBLANK(E603), "", INDEX(Categories!$B:$B,MATCH(E603,Categories!$A:$A,0)))</f>
        <v/>
      </c>
      <c r="I603" s="7" t="str">
        <f t="array" ref="I603">IF(ISBLANK(F603), "", INDEX(Categories!$B:$B,MATCH(F603,Categories!$A:$A,0)))</f>
        <v/>
      </c>
      <c r="J603" s="4"/>
      <c r="K603" s="4"/>
      <c r="L603" s="4"/>
      <c r="M603" s="4"/>
      <c r="N603" s="4"/>
      <c r="O603" s="4"/>
      <c r="P603" s="4"/>
      <c r="Q603" s="4"/>
    </row>
    <row r="604">
      <c r="A604" s="5">
        <v>603.0</v>
      </c>
      <c r="B604" s="5" t="s">
        <v>838</v>
      </c>
      <c r="C604" s="5" t="s">
        <v>448</v>
      </c>
      <c r="D604" s="6">
        <f>IFERROR(__xludf.DUMMYFUNCTION("SPLIT(MID(C604,2,LEN(C604)-2), "","")"),1995.0)</f>
        <v>1995</v>
      </c>
      <c r="E604" s="7"/>
      <c r="F604" s="7"/>
      <c r="G604" s="2" t="str">
        <f t="array" ref="G604">IF(ISBLANK(D604), "", INDEX(Categories!$B:$B,MATCH(D604,Categories!$A:$A,0)))</f>
        <v>Parking Facilities</v>
      </c>
      <c r="H604" s="7" t="str">
        <f t="array" ref="H604">IF(ISBLANK(E604), "", INDEX(Categories!$B:$B,MATCH(E604,Categories!$A:$A,0)))</f>
        <v/>
      </c>
      <c r="I604" s="7" t="str">
        <f t="array" ref="I604">IF(ISBLANK(F604), "", INDEX(Categories!$B:$B,MATCH(F604,Categories!$A:$A,0)))</f>
        <v/>
      </c>
      <c r="J604" s="4"/>
      <c r="K604" s="4"/>
      <c r="L604" s="4"/>
      <c r="M604" s="4"/>
      <c r="N604" s="4"/>
      <c r="O604" s="4"/>
      <c r="P604" s="4"/>
      <c r="Q604" s="4"/>
    </row>
    <row r="605">
      <c r="A605" s="5">
        <v>604.0</v>
      </c>
      <c r="B605" s="5" t="s">
        <v>839</v>
      </c>
      <c r="C605" s="5" t="s">
        <v>16</v>
      </c>
      <c r="D605" s="6">
        <f>IFERROR(__xludf.DUMMYFUNCTION("SPLIT(MID(C605,2,LEN(C605)-2), "","")"),51.0)</f>
        <v>51</v>
      </c>
      <c r="E605" s="7"/>
      <c r="F605" s="7"/>
      <c r="G605" s="2" t="str">
        <f t="array" ref="G605">IF(ISBLANK(D605), "", INDEX(Categories!$B:$B,MATCH(D605,Categories!$A:$A,0)))</f>
        <v>Automobile Parts &amp; Supplies</v>
      </c>
      <c r="H605" s="7" t="str">
        <f t="array" ref="H605">IF(ISBLANK(E605), "", INDEX(Categories!$B:$B,MATCH(E605,Categories!$A:$A,0)))</f>
        <v/>
      </c>
      <c r="I605" s="7" t="str">
        <f t="array" ref="I605">IF(ISBLANK(F605), "", INDEX(Categories!$B:$B,MATCH(F605,Categories!$A:$A,0)))</f>
        <v/>
      </c>
      <c r="J605" s="4"/>
      <c r="K605" s="4"/>
      <c r="L605" s="4"/>
      <c r="M605" s="4"/>
      <c r="N605" s="4"/>
      <c r="O605" s="4"/>
      <c r="P605" s="4"/>
      <c r="Q605" s="4"/>
    </row>
    <row r="606">
      <c r="A606" s="5">
        <v>605.0</v>
      </c>
      <c r="B606" s="5" t="s">
        <v>840</v>
      </c>
      <c r="C606" s="5" t="s">
        <v>484</v>
      </c>
      <c r="D606" s="6">
        <f>IFERROR(__xludf.DUMMYFUNCTION("SPLIT(MID(C606,2,LEN(C606)-2), "","")"),573.0)</f>
        <v>573</v>
      </c>
      <c r="E606" s="7"/>
      <c r="F606" s="7"/>
      <c r="G606" s="2" t="str">
        <f t="array" ref="G606">IF(ISBLANK(D606), "", INDEX(Categories!$B:$B,MATCH(D606,Categories!$A:$A,0)))</f>
        <v>Bagels</v>
      </c>
      <c r="H606" s="7" t="str">
        <f t="array" ref="H606">IF(ISBLANK(E606), "", INDEX(Categories!$B:$B,MATCH(E606,Categories!$A:$A,0)))</f>
        <v/>
      </c>
      <c r="I606" s="7" t="str">
        <f t="array" ref="I606">IF(ISBLANK(F606), "", INDEX(Categories!$B:$B,MATCH(F606,Categories!$A:$A,0)))</f>
        <v/>
      </c>
      <c r="J606" s="4"/>
      <c r="K606" s="4"/>
      <c r="L606" s="4"/>
      <c r="M606" s="4"/>
      <c r="N606" s="4"/>
      <c r="O606" s="4"/>
      <c r="P606" s="4"/>
      <c r="Q606" s="4"/>
    </row>
    <row r="607">
      <c r="A607" s="5">
        <v>606.0</v>
      </c>
      <c r="B607" s="5" t="s">
        <v>841</v>
      </c>
      <c r="C607" s="5" t="s">
        <v>842</v>
      </c>
      <c r="D607" s="6">
        <f>IFERROR(__xludf.DUMMYFUNCTION("SPLIT(MID(C607,2,LEN(C607)-2), "","")"),2860.0)</f>
        <v>2860</v>
      </c>
      <c r="E607" s="7"/>
      <c r="F607" s="7"/>
      <c r="G607" s="2" t="str">
        <f t="array" ref="G607">IF(ISBLANK(D607), "", INDEX(Categories!$B:$B,MATCH(D607,Categories!$A:$A,0)))</f>
        <v>Armed Forces</v>
      </c>
      <c r="H607" s="7" t="str">
        <f t="array" ref="H607">IF(ISBLANK(E607), "", INDEX(Categories!$B:$B,MATCH(E607,Categories!$A:$A,0)))</f>
        <v/>
      </c>
      <c r="I607" s="7" t="str">
        <f t="array" ref="I607">IF(ISBLANK(F607), "", INDEX(Categories!$B:$B,MATCH(F607,Categories!$A:$A,0)))</f>
        <v/>
      </c>
      <c r="J607" s="4"/>
      <c r="K607" s="4"/>
      <c r="L607" s="4"/>
      <c r="M607" s="4"/>
      <c r="N607" s="4"/>
      <c r="O607" s="4"/>
      <c r="P607" s="4"/>
      <c r="Q607" s="4"/>
    </row>
    <row r="608">
      <c r="A608" s="5">
        <v>607.0</v>
      </c>
      <c r="B608" s="5" t="s">
        <v>843</v>
      </c>
      <c r="C608" s="5" t="s">
        <v>69</v>
      </c>
      <c r="D608" s="6">
        <f>IFERROR(__xludf.DUMMYFUNCTION("SPLIT(MID(C608,2,LEN(C608)-2), "","")"),293.0)</f>
        <v>293</v>
      </c>
      <c r="E608" s="7"/>
      <c r="F608" s="7"/>
      <c r="G608" s="2" t="str">
        <f t="array" ref="G608">IF(ISBLANK(D608), "", INDEX(Categories!$B:$B,MATCH(D608,Categories!$A:$A,0)))</f>
        <v>Banks Commercial</v>
      </c>
      <c r="H608" s="7" t="str">
        <f t="array" ref="H608">IF(ISBLANK(E608), "", INDEX(Categories!$B:$B,MATCH(E608,Categories!$A:$A,0)))</f>
        <v/>
      </c>
      <c r="I608" s="7" t="str">
        <f t="array" ref="I608">IF(ISBLANK(F608), "", INDEX(Categories!$B:$B,MATCH(F608,Categories!$A:$A,0)))</f>
        <v/>
      </c>
      <c r="J608" s="4"/>
      <c r="K608" s="4"/>
      <c r="L608" s="4"/>
      <c r="M608" s="4"/>
      <c r="N608" s="4"/>
      <c r="O608" s="4"/>
      <c r="P608" s="4"/>
      <c r="Q608" s="4"/>
    </row>
    <row r="609">
      <c r="A609" s="5">
        <v>608.0</v>
      </c>
      <c r="B609" s="5" t="s">
        <v>844</v>
      </c>
      <c r="C609" s="5" t="s">
        <v>387</v>
      </c>
      <c r="D609" s="6">
        <f>IFERROR(__xludf.DUMMYFUNCTION("SPLIT(MID(C609,2,LEN(C609)-2), "","")"),2225.0)</f>
        <v>2225</v>
      </c>
      <c r="E609" s="7"/>
      <c r="F609" s="7"/>
      <c r="G609" s="2" t="str">
        <f t="array" ref="G609">IF(ISBLANK(D609), "", INDEX(Categories!$B:$B,MATCH(D609,Categories!$A:$A,0)))</f>
        <v>Trucking Contract Hauling</v>
      </c>
      <c r="H609" s="7" t="str">
        <f t="array" ref="H609">IF(ISBLANK(E609), "", INDEX(Categories!$B:$B,MATCH(E609,Categories!$A:$A,0)))</f>
        <v/>
      </c>
      <c r="I609" s="7" t="str">
        <f t="array" ref="I609">IF(ISBLANK(F609), "", INDEX(Categories!$B:$B,MATCH(F609,Categories!$A:$A,0)))</f>
        <v/>
      </c>
      <c r="J609" s="4"/>
      <c r="K609" s="4"/>
      <c r="L609" s="4"/>
      <c r="M609" s="4"/>
      <c r="N609" s="4"/>
      <c r="O609" s="4"/>
      <c r="P609" s="4"/>
      <c r="Q609" s="4"/>
    </row>
    <row r="610">
      <c r="A610" s="5">
        <v>609.0</v>
      </c>
      <c r="B610" s="5" t="s">
        <v>845</v>
      </c>
      <c r="C610" s="5" t="s">
        <v>364</v>
      </c>
      <c r="D610" s="6">
        <f>IFERROR(__xludf.DUMMYFUNCTION("SPLIT(MID(C610,2,LEN(C610)-2), "","")"),555.0)</f>
        <v>555</v>
      </c>
      <c r="E610" s="7"/>
      <c r="F610" s="7"/>
      <c r="G610" s="2" t="str">
        <f t="array" ref="G610">IF(ISBLANK(D610), "", INDEX(Categories!$B:$B,MATCH(D610,Categories!$A:$A,0)))</f>
        <v>Dry Cleaners</v>
      </c>
      <c r="H610" s="7" t="str">
        <f t="array" ref="H610">IF(ISBLANK(E610), "", INDEX(Categories!$B:$B,MATCH(E610,Categories!$A:$A,0)))</f>
        <v/>
      </c>
      <c r="I610" s="7" t="str">
        <f t="array" ref="I610">IF(ISBLANK(F610), "", INDEX(Categories!$B:$B,MATCH(F610,Categories!$A:$A,0)))</f>
        <v/>
      </c>
      <c r="J610" s="4"/>
      <c r="K610" s="4"/>
      <c r="L610" s="4"/>
      <c r="M610" s="4"/>
      <c r="N610" s="4"/>
      <c r="O610" s="4"/>
      <c r="P610" s="4"/>
      <c r="Q610" s="4"/>
    </row>
    <row r="611">
      <c r="A611" s="5">
        <v>610.0</v>
      </c>
      <c r="B611" s="5" t="s">
        <v>846</v>
      </c>
      <c r="C611" s="5" t="s">
        <v>847</v>
      </c>
      <c r="D611" s="6">
        <f>IFERROR(__xludf.DUMMYFUNCTION("SPLIT(MID(C611,2,LEN(C611)-2), "","")"),728.0)</f>
        <v>728</v>
      </c>
      <c r="E611" s="7"/>
      <c r="F611" s="7"/>
      <c r="G611" s="2" t="str">
        <f t="array" ref="G611">IF(ISBLANK(D611), "", INDEX(Categories!$B:$B,MATCH(D611,Categories!$A:$A,0)))</f>
        <v>Airline Companies</v>
      </c>
      <c r="H611" s="7" t="str">
        <f t="array" ref="H611">IF(ISBLANK(E611), "", INDEX(Categories!$B:$B,MATCH(E611,Categories!$A:$A,0)))</f>
        <v/>
      </c>
      <c r="I611" s="7" t="str">
        <f t="array" ref="I611">IF(ISBLANK(F611), "", INDEX(Categories!$B:$B,MATCH(F611,Categories!$A:$A,0)))</f>
        <v/>
      </c>
      <c r="J611" s="4"/>
      <c r="K611" s="4"/>
      <c r="L611" s="4"/>
      <c r="M611" s="4"/>
      <c r="N611" s="4"/>
      <c r="O611" s="4"/>
      <c r="P611" s="4"/>
      <c r="Q611" s="4"/>
    </row>
    <row r="612">
      <c r="A612" s="5">
        <v>611.0</v>
      </c>
      <c r="B612" s="5" t="s">
        <v>848</v>
      </c>
      <c r="C612" s="5" t="s">
        <v>214</v>
      </c>
      <c r="D612" s="6">
        <f>IFERROR(__xludf.DUMMYFUNCTION("SPLIT(MID(C612,2,LEN(C612)-2), "","")"),30.0)</f>
        <v>30</v>
      </c>
      <c r="E612" s="7"/>
      <c r="F612" s="7"/>
      <c r="G612" s="2" t="str">
        <f t="array" ref="G612">IF(ISBLANK(D612), "", INDEX(Categories!$B:$B,MATCH(D612,Categories!$A:$A,0)))</f>
        <v>Furniture Renting &amp; Leasing</v>
      </c>
      <c r="H612" s="7" t="str">
        <f t="array" ref="H612">IF(ISBLANK(E612), "", INDEX(Categories!$B:$B,MATCH(E612,Categories!$A:$A,0)))</f>
        <v/>
      </c>
      <c r="I612" s="7" t="str">
        <f t="array" ref="I612">IF(ISBLANK(F612), "", INDEX(Categories!$B:$B,MATCH(F612,Categories!$A:$A,0)))</f>
        <v/>
      </c>
      <c r="J612" s="4"/>
      <c r="K612" s="4"/>
      <c r="L612" s="4"/>
      <c r="M612" s="4"/>
      <c r="N612" s="4"/>
      <c r="O612" s="4"/>
      <c r="P612" s="4"/>
      <c r="Q612" s="4"/>
    </row>
    <row r="613">
      <c r="A613" s="5">
        <v>612.0</v>
      </c>
      <c r="B613" s="5" t="s">
        <v>849</v>
      </c>
      <c r="C613" s="5" t="s">
        <v>622</v>
      </c>
      <c r="D613" s="6">
        <f>IFERROR(__xludf.DUMMYFUNCTION("SPLIT(MID(C613,2,LEN(C613)-2), "","")"),126.0)</f>
        <v>126</v>
      </c>
      <c r="E613" s="7"/>
      <c r="F613" s="7"/>
      <c r="G613" s="2" t="str">
        <f t="array" ref="G613">IF(ISBLANK(D613), "", INDEX(Categories!$B:$B,MATCH(D613,Categories!$A:$A,0)))</f>
        <v>Health Maintenance Organizations (hmo)</v>
      </c>
      <c r="H613" s="7" t="str">
        <f t="array" ref="H613">IF(ISBLANK(E613), "", INDEX(Categories!$B:$B,MATCH(E613,Categories!$A:$A,0)))</f>
        <v/>
      </c>
      <c r="I613" s="7" t="str">
        <f t="array" ref="I613">IF(ISBLANK(F613), "", INDEX(Categories!$B:$B,MATCH(F613,Categories!$A:$A,0)))</f>
        <v/>
      </c>
      <c r="J613" s="4"/>
      <c r="K613" s="4"/>
      <c r="L613" s="4"/>
      <c r="M613" s="4"/>
      <c r="N613" s="4"/>
      <c r="O613" s="4"/>
      <c r="P613" s="4"/>
      <c r="Q613" s="4"/>
    </row>
    <row r="614">
      <c r="A614" s="5">
        <v>613.0</v>
      </c>
      <c r="B614" s="5" t="s">
        <v>850</v>
      </c>
      <c r="C614" s="5" t="s">
        <v>562</v>
      </c>
      <c r="D614" s="6">
        <f>IFERROR(__xludf.DUMMYFUNCTION("SPLIT(MID(C614,2,LEN(C614)-2), "","")"),162.0)</f>
        <v>162</v>
      </c>
      <c r="E614" s="7"/>
      <c r="F614" s="7"/>
      <c r="G614" s="2" t="str">
        <f t="array" ref="G614">IF(ISBLANK(D614), "", INDEX(Categories!$B:$B,MATCH(D614,Categories!$A:$A,0)))</f>
        <v>Hotels, Motels, &amp; Lodging</v>
      </c>
      <c r="H614" s="7" t="str">
        <f t="array" ref="H614">IF(ISBLANK(E614), "", INDEX(Categories!$B:$B,MATCH(E614,Categories!$A:$A,0)))</f>
        <v/>
      </c>
      <c r="I614" s="7" t="str">
        <f t="array" ref="I614">IF(ISBLANK(F614), "", INDEX(Categories!$B:$B,MATCH(F614,Categories!$A:$A,0)))</f>
        <v/>
      </c>
      <c r="J614" s="4"/>
      <c r="K614" s="4"/>
      <c r="L614" s="4"/>
      <c r="M614" s="4"/>
      <c r="N614" s="4"/>
      <c r="O614" s="4"/>
      <c r="P614" s="4"/>
      <c r="Q614" s="4"/>
    </row>
    <row r="615">
      <c r="A615" s="5">
        <v>614.0</v>
      </c>
      <c r="B615" s="5" t="s">
        <v>851</v>
      </c>
      <c r="C615" s="5" t="s">
        <v>320</v>
      </c>
      <c r="D615" s="6">
        <f>IFERROR(__xludf.DUMMYFUNCTION("SPLIT(MID(C615,2,LEN(C615)-2), "","")"),1421.0)</f>
        <v>1421</v>
      </c>
      <c r="E615" s="7"/>
      <c r="F615" s="7"/>
      <c r="G615" s="2" t="str">
        <f t="array" ref="G615">IF(ISBLANK(D615), "", INDEX(Categories!$B:$B,MATCH(D615,Categories!$A:$A,0)))</f>
        <v>Video Production &amp; Duplication</v>
      </c>
      <c r="H615" s="7" t="str">
        <f t="array" ref="H615">IF(ISBLANK(E615), "", INDEX(Categories!$B:$B,MATCH(E615,Categories!$A:$A,0)))</f>
        <v/>
      </c>
      <c r="I615" s="7" t="str">
        <f t="array" ref="I615">IF(ISBLANK(F615), "", INDEX(Categories!$B:$B,MATCH(F615,Categories!$A:$A,0)))</f>
        <v/>
      </c>
      <c r="J615" s="4"/>
      <c r="K615" s="4"/>
      <c r="L615" s="4"/>
      <c r="M615" s="4"/>
      <c r="N615" s="4"/>
      <c r="O615" s="4"/>
      <c r="P615" s="4"/>
      <c r="Q615" s="4"/>
    </row>
    <row r="616">
      <c r="A616" s="5">
        <v>615.0</v>
      </c>
      <c r="B616" s="5" t="s">
        <v>852</v>
      </c>
      <c r="C616" s="5" t="s">
        <v>194</v>
      </c>
      <c r="D616" s="6">
        <f>IFERROR(__xludf.DUMMYFUNCTION("SPLIT(MID(C616,2,LEN(C616)-2), "","")"),442.0)</f>
        <v>442</v>
      </c>
      <c r="E616" s="7"/>
      <c r="F616" s="7"/>
      <c r="G616" s="2" t="str">
        <f t="array" ref="G616">IF(ISBLANK(D616), "", INDEX(Categories!$B:$B,MATCH(D616,Categories!$A:$A,0)))</f>
        <v>Pest Control Services</v>
      </c>
      <c r="H616" s="7" t="str">
        <f t="array" ref="H616">IF(ISBLANK(E616), "", INDEX(Categories!$B:$B,MATCH(E616,Categories!$A:$A,0)))</f>
        <v/>
      </c>
      <c r="I616" s="7" t="str">
        <f t="array" ref="I616">IF(ISBLANK(F616), "", INDEX(Categories!$B:$B,MATCH(F616,Categories!$A:$A,0)))</f>
        <v/>
      </c>
      <c r="J616" s="4"/>
      <c r="K616" s="4"/>
      <c r="L616" s="4"/>
      <c r="M616" s="4"/>
      <c r="N616" s="4"/>
      <c r="O616" s="4"/>
      <c r="P616" s="4"/>
      <c r="Q616" s="4"/>
    </row>
    <row r="617">
      <c r="A617" s="5">
        <v>616.0</v>
      </c>
      <c r="B617" s="5" t="s">
        <v>853</v>
      </c>
      <c r="C617" s="5" t="s">
        <v>751</v>
      </c>
      <c r="D617" s="6">
        <f>IFERROR(__xludf.DUMMYFUNCTION("SPLIT(MID(C617,2,LEN(C617)-2), "","")"),2863.0)</f>
        <v>2863</v>
      </c>
      <c r="E617" s="7"/>
      <c r="F617" s="7"/>
      <c r="G617" s="2" t="str">
        <f t="array" ref="G617">IF(ISBLANK(D617), "", INDEX(Categories!$B:$B,MATCH(D617,Categories!$A:$A,0)))</f>
        <v>Economic Development Organizations</v>
      </c>
      <c r="H617" s="7" t="str">
        <f t="array" ref="H617">IF(ISBLANK(E617), "", INDEX(Categories!$B:$B,MATCH(E617,Categories!$A:$A,0)))</f>
        <v/>
      </c>
      <c r="I617" s="7" t="str">
        <f t="array" ref="I617">IF(ISBLANK(F617), "", INDEX(Categories!$B:$B,MATCH(F617,Categories!$A:$A,0)))</f>
        <v/>
      </c>
      <c r="J617" s="4"/>
      <c r="K617" s="4"/>
      <c r="L617" s="4"/>
      <c r="M617" s="4"/>
      <c r="N617" s="4"/>
      <c r="O617" s="4"/>
      <c r="P617" s="4"/>
      <c r="Q617" s="4"/>
    </row>
    <row r="618">
      <c r="A618" s="5">
        <v>617.0</v>
      </c>
      <c r="B618" s="5" t="s">
        <v>854</v>
      </c>
      <c r="C618" s="5" t="s">
        <v>69</v>
      </c>
      <c r="D618" s="6">
        <f>IFERROR(__xludf.DUMMYFUNCTION("SPLIT(MID(C618,2,LEN(C618)-2), "","")"),293.0)</f>
        <v>293</v>
      </c>
      <c r="E618" s="7"/>
      <c r="F618" s="7"/>
      <c r="G618" s="2" t="str">
        <f t="array" ref="G618">IF(ISBLANK(D618), "", INDEX(Categories!$B:$B,MATCH(D618,Categories!$A:$A,0)))</f>
        <v>Banks Commercial</v>
      </c>
      <c r="H618" s="7" t="str">
        <f t="array" ref="H618">IF(ISBLANK(E618), "", INDEX(Categories!$B:$B,MATCH(E618,Categories!$A:$A,0)))</f>
        <v/>
      </c>
      <c r="I618" s="7" t="str">
        <f t="array" ref="I618">IF(ISBLANK(F618), "", INDEX(Categories!$B:$B,MATCH(F618,Categories!$A:$A,0)))</f>
        <v/>
      </c>
      <c r="J618" s="4"/>
      <c r="K618" s="4"/>
      <c r="L618" s="4"/>
      <c r="M618" s="4"/>
      <c r="N618" s="4"/>
      <c r="O618" s="4"/>
      <c r="P618" s="4"/>
      <c r="Q618" s="4"/>
    </row>
    <row r="619">
      <c r="A619" s="5">
        <v>618.0</v>
      </c>
      <c r="B619" s="5" t="s">
        <v>855</v>
      </c>
      <c r="C619" s="5" t="s">
        <v>34</v>
      </c>
      <c r="D619" s="6">
        <f>IFERROR(__xludf.DUMMYFUNCTION("SPLIT(MID(C619,2,LEN(C619)-2), "","")"),228.0)</f>
        <v>228</v>
      </c>
      <c r="E619" s="7"/>
      <c r="F619" s="7"/>
      <c r="G619" s="2" t="str">
        <f t="array" ref="G619">IF(ISBLANK(D619), "", INDEX(Categories!$B:$B,MATCH(D619,Categories!$A:$A,0)))</f>
        <v>Restaurants</v>
      </c>
      <c r="H619" s="7" t="str">
        <f t="array" ref="H619">IF(ISBLANK(E619), "", INDEX(Categories!$B:$B,MATCH(E619,Categories!$A:$A,0)))</f>
        <v/>
      </c>
      <c r="I619" s="7" t="str">
        <f t="array" ref="I619">IF(ISBLANK(F619), "", INDEX(Categories!$B:$B,MATCH(F619,Categories!$A:$A,0)))</f>
        <v/>
      </c>
      <c r="J619" s="4"/>
      <c r="K619" s="4"/>
      <c r="L619" s="4"/>
      <c r="M619" s="4"/>
      <c r="N619" s="4"/>
      <c r="O619" s="4"/>
      <c r="P619" s="4"/>
      <c r="Q619" s="4"/>
    </row>
    <row r="620">
      <c r="A620" s="5">
        <v>619.0</v>
      </c>
      <c r="B620" s="5" t="s">
        <v>856</v>
      </c>
      <c r="C620" s="5" t="s">
        <v>69</v>
      </c>
      <c r="D620" s="6">
        <f>IFERROR(__xludf.DUMMYFUNCTION("SPLIT(MID(C620,2,LEN(C620)-2), "","")"),293.0)</f>
        <v>293</v>
      </c>
      <c r="E620" s="7"/>
      <c r="F620" s="7"/>
      <c r="G620" s="2" t="str">
        <f t="array" ref="G620">IF(ISBLANK(D620), "", INDEX(Categories!$B:$B,MATCH(D620,Categories!$A:$A,0)))</f>
        <v>Banks Commercial</v>
      </c>
      <c r="H620" s="7" t="str">
        <f t="array" ref="H620">IF(ISBLANK(E620), "", INDEX(Categories!$B:$B,MATCH(E620,Categories!$A:$A,0)))</f>
        <v/>
      </c>
      <c r="I620" s="7" t="str">
        <f t="array" ref="I620">IF(ISBLANK(F620), "", INDEX(Categories!$B:$B,MATCH(F620,Categories!$A:$A,0)))</f>
        <v/>
      </c>
      <c r="J620" s="4"/>
      <c r="K620" s="4"/>
      <c r="L620" s="4"/>
      <c r="M620" s="4"/>
      <c r="N620" s="4"/>
      <c r="O620" s="4"/>
      <c r="P620" s="4"/>
      <c r="Q620" s="4"/>
    </row>
    <row r="621">
      <c r="A621" s="5">
        <v>620.0</v>
      </c>
      <c r="B621" s="5" t="s">
        <v>857</v>
      </c>
      <c r="C621" s="5" t="s">
        <v>43</v>
      </c>
      <c r="D621" s="6">
        <f>IFERROR(__xludf.DUMMYFUNCTION("SPLIT(MID(C621,2,LEN(C621)-2), "","")"),292.0)</f>
        <v>292</v>
      </c>
      <c r="E621" s="7"/>
      <c r="F621" s="7"/>
      <c r="G621" s="2" t="str">
        <f t="array" ref="G621">IF(ISBLANK(D621), "", INDEX(Categories!$B:$B,MATCH(D621,Categories!$A:$A,0)))</f>
        <v>Banks</v>
      </c>
      <c r="H621" s="7" t="str">
        <f t="array" ref="H621">IF(ISBLANK(E621), "", INDEX(Categories!$B:$B,MATCH(E621,Categories!$A:$A,0)))</f>
        <v/>
      </c>
      <c r="I621" s="7" t="str">
        <f t="array" ref="I621">IF(ISBLANK(F621), "", INDEX(Categories!$B:$B,MATCH(F621,Categories!$A:$A,0)))</f>
        <v/>
      </c>
      <c r="J621" s="4"/>
      <c r="K621" s="4"/>
      <c r="L621" s="4"/>
      <c r="M621" s="4"/>
      <c r="N621" s="4"/>
      <c r="O621" s="4"/>
      <c r="P621" s="4"/>
      <c r="Q621" s="4"/>
    </row>
    <row r="622">
      <c r="A622" s="5">
        <v>621.0</v>
      </c>
      <c r="B622" s="5" t="s">
        <v>858</v>
      </c>
      <c r="C622" s="5" t="s">
        <v>38</v>
      </c>
      <c r="D622" s="6">
        <f>IFERROR(__xludf.DUMMYFUNCTION("SPLIT(MID(C622,2,LEN(C622)-2), "","")"),933.0)</f>
        <v>933</v>
      </c>
      <c r="E622" s="7"/>
      <c r="F622" s="7"/>
      <c r="G622" s="2" t="str">
        <f t="array" ref="G622">IF(ISBLANK(D622), "", INDEX(Categories!$B:$B,MATCH(D622,Categories!$A:$A,0)))</f>
        <v>Loans &amp; Mortgages</v>
      </c>
      <c r="H622" s="7" t="str">
        <f t="array" ref="H622">IF(ISBLANK(E622), "", INDEX(Categories!$B:$B,MATCH(E622,Categories!$A:$A,0)))</f>
        <v/>
      </c>
      <c r="I622" s="7" t="str">
        <f t="array" ref="I622">IF(ISBLANK(F622), "", INDEX(Categories!$B:$B,MATCH(F622,Categories!$A:$A,0)))</f>
        <v/>
      </c>
      <c r="J622" s="4"/>
      <c r="K622" s="4"/>
      <c r="L622" s="4"/>
      <c r="M622" s="4"/>
      <c r="N622" s="4"/>
      <c r="O622" s="4"/>
      <c r="P622" s="4"/>
      <c r="Q622" s="4"/>
    </row>
    <row r="623">
      <c r="A623" s="5">
        <v>622.0</v>
      </c>
      <c r="B623" s="5" t="s">
        <v>859</v>
      </c>
      <c r="C623" s="5" t="s">
        <v>522</v>
      </c>
      <c r="D623" s="6">
        <f>IFERROR(__xludf.DUMMYFUNCTION("SPLIT(MID(C623,2,LEN(C623)-2), "","")"),683.0)</f>
        <v>683</v>
      </c>
      <c r="E623" s="7"/>
      <c r="F623" s="7"/>
      <c r="G623" s="2" t="str">
        <f t="array" ref="G623">IF(ISBLANK(D623), "", INDEX(Categories!$B:$B,MATCH(D623,Categories!$A:$A,0)))</f>
        <v>Bakeries</v>
      </c>
      <c r="H623" s="7" t="str">
        <f t="array" ref="H623">IF(ISBLANK(E623), "", INDEX(Categories!$B:$B,MATCH(E623,Categories!$A:$A,0)))</f>
        <v/>
      </c>
      <c r="I623" s="7" t="str">
        <f t="array" ref="I623">IF(ISBLANK(F623), "", INDEX(Categories!$B:$B,MATCH(F623,Categories!$A:$A,0)))</f>
        <v/>
      </c>
      <c r="J623" s="4"/>
      <c r="K623" s="4"/>
      <c r="L623" s="4"/>
      <c r="M623" s="4"/>
      <c r="N623" s="4"/>
      <c r="O623" s="4"/>
      <c r="P623" s="4"/>
      <c r="Q623" s="4"/>
    </row>
    <row r="624">
      <c r="A624" s="5">
        <v>623.0</v>
      </c>
      <c r="B624" s="5" t="s">
        <v>860</v>
      </c>
      <c r="C624" s="5" t="s">
        <v>861</v>
      </c>
      <c r="D624" s="6">
        <f>IFERROR(__xludf.DUMMYFUNCTION("SPLIT(MID(C624,2,LEN(C624)-2), "","")"),1758.0)</f>
        <v>1758</v>
      </c>
      <c r="E624" s="7"/>
      <c r="F624" s="7"/>
      <c r="G624" s="2" t="str">
        <f t="array" ref="G624">IF(ISBLANK(D624), "", INDEX(Categories!$B:$B,MATCH(D624,Categories!$A:$A,0)))</f>
        <v>Delivery Service</v>
      </c>
      <c r="H624" s="7" t="str">
        <f t="array" ref="H624">IF(ISBLANK(E624), "", INDEX(Categories!$B:$B,MATCH(E624,Categories!$A:$A,0)))</f>
        <v/>
      </c>
      <c r="I624" s="7" t="str">
        <f t="array" ref="I624">IF(ISBLANK(F624), "", INDEX(Categories!$B:$B,MATCH(F624,Categories!$A:$A,0)))</f>
        <v/>
      </c>
      <c r="J624" s="4"/>
      <c r="K624" s="4"/>
      <c r="L624" s="4"/>
      <c r="M624" s="4"/>
      <c r="N624" s="4"/>
      <c r="O624" s="4"/>
      <c r="P624" s="4"/>
      <c r="Q624" s="4"/>
    </row>
    <row r="625">
      <c r="A625" s="5">
        <v>624.0</v>
      </c>
      <c r="B625" s="5" t="s">
        <v>862</v>
      </c>
      <c r="C625" s="5" t="s">
        <v>863</v>
      </c>
      <c r="D625" s="6">
        <f>IFERROR(__xludf.DUMMYFUNCTION("SPLIT(MID(C625,2,LEN(C625)-2), "","")"),1849.0)</f>
        <v>1849</v>
      </c>
      <c r="E625" s="7"/>
      <c r="F625" s="7"/>
      <c r="G625" s="2" t="str">
        <f t="array" ref="G625">IF(ISBLANK(D625), "", INDEX(Categories!$B:$B,MATCH(D625,Categories!$A:$A,0)))</f>
        <v>Lithographers</v>
      </c>
      <c r="H625" s="7" t="str">
        <f t="array" ref="H625">IF(ISBLANK(E625), "", INDEX(Categories!$B:$B,MATCH(E625,Categories!$A:$A,0)))</f>
        <v/>
      </c>
      <c r="I625" s="7" t="str">
        <f t="array" ref="I625">IF(ISBLANK(F625), "", INDEX(Categories!$B:$B,MATCH(F625,Categories!$A:$A,0)))</f>
        <v/>
      </c>
      <c r="J625" s="4"/>
      <c r="K625" s="4"/>
      <c r="L625" s="4"/>
      <c r="M625" s="4"/>
      <c r="N625" s="4"/>
      <c r="O625" s="4"/>
      <c r="P625" s="4"/>
      <c r="Q625" s="4"/>
    </row>
    <row r="626">
      <c r="A626" s="5">
        <v>625.0</v>
      </c>
      <c r="B626" s="5" t="s">
        <v>864</v>
      </c>
      <c r="C626" s="5" t="s">
        <v>18</v>
      </c>
      <c r="D626" s="6">
        <f>IFERROR(__xludf.DUMMYFUNCTION("SPLIT(MID(C626,2,LEN(C626)-2), "","")"),121.0)</f>
        <v>121</v>
      </c>
      <c r="E626" s="7"/>
      <c r="F626" s="7"/>
      <c r="G626" s="2" t="str">
        <f t="array" ref="G626">IF(ISBLANK(D626), "", INDEX(Categories!$B:$B,MATCH(D626,Categories!$A:$A,0)))</f>
        <v>Insurance</v>
      </c>
      <c r="H626" s="7" t="str">
        <f t="array" ref="H626">IF(ISBLANK(E626), "", INDEX(Categories!$B:$B,MATCH(E626,Categories!$A:$A,0)))</f>
        <v/>
      </c>
      <c r="I626" s="7" t="str">
        <f t="array" ref="I626">IF(ISBLANK(F626), "", INDEX(Categories!$B:$B,MATCH(F626,Categories!$A:$A,0)))</f>
        <v/>
      </c>
      <c r="J626" s="4"/>
      <c r="K626" s="4"/>
      <c r="L626" s="4"/>
      <c r="M626" s="4"/>
      <c r="N626" s="4"/>
      <c r="O626" s="4"/>
      <c r="P626" s="4"/>
      <c r="Q626" s="4"/>
    </row>
    <row r="627">
      <c r="A627" s="5">
        <v>626.0</v>
      </c>
      <c r="B627" s="5" t="s">
        <v>865</v>
      </c>
      <c r="C627" s="5" t="s">
        <v>866</v>
      </c>
      <c r="D627" s="6">
        <f>IFERROR(__xludf.DUMMYFUNCTION("SPLIT(MID(C627,2,LEN(C627)-2), "","")"),1332.0)</f>
        <v>1332</v>
      </c>
      <c r="E627" s="7"/>
      <c r="F627" s="7"/>
      <c r="G627" s="2" t="str">
        <f t="array" ref="G627">IF(ISBLANK(D627), "", INDEX(Categories!$B:$B,MATCH(D627,Categories!$A:$A,0)))</f>
        <v>Heating, Ventilation &amp; Air Conditioning</v>
      </c>
      <c r="H627" s="7" t="str">
        <f t="array" ref="H627">IF(ISBLANK(E627), "", INDEX(Categories!$B:$B,MATCH(E627,Categories!$A:$A,0)))</f>
        <v/>
      </c>
      <c r="I627" s="7" t="str">
        <f t="array" ref="I627">IF(ISBLANK(F627), "", INDEX(Categories!$B:$B,MATCH(F627,Categories!$A:$A,0)))</f>
        <v/>
      </c>
      <c r="J627" s="4"/>
      <c r="K627" s="4"/>
      <c r="L627" s="4"/>
      <c r="M627" s="4"/>
      <c r="N627" s="4"/>
      <c r="O627" s="4"/>
      <c r="P627" s="4"/>
      <c r="Q627" s="4"/>
    </row>
    <row r="628">
      <c r="A628" s="5">
        <v>627.0</v>
      </c>
      <c r="B628" s="5" t="s">
        <v>867</v>
      </c>
      <c r="C628" s="5" t="s">
        <v>320</v>
      </c>
      <c r="D628" s="6">
        <f>IFERROR(__xludf.DUMMYFUNCTION("SPLIT(MID(C628,2,LEN(C628)-2), "","")"),1421.0)</f>
        <v>1421</v>
      </c>
      <c r="E628" s="7"/>
      <c r="F628" s="7"/>
      <c r="G628" s="2" t="str">
        <f t="array" ref="G628">IF(ISBLANK(D628), "", INDEX(Categories!$B:$B,MATCH(D628,Categories!$A:$A,0)))</f>
        <v>Video Production &amp; Duplication</v>
      </c>
      <c r="H628" s="7" t="str">
        <f t="array" ref="H628">IF(ISBLANK(E628), "", INDEX(Categories!$B:$B,MATCH(E628,Categories!$A:$A,0)))</f>
        <v/>
      </c>
      <c r="I628" s="7" t="str">
        <f t="array" ref="I628">IF(ISBLANK(F628), "", INDEX(Categories!$B:$B,MATCH(F628,Categories!$A:$A,0)))</f>
        <v/>
      </c>
      <c r="J628" s="4"/>
      <c r="K628" s="4"/>
      <c r="L628" s="4"/>
      <c r="M628" s="4"/>
      <c r="N628" s="4"/>
      <c r="O628" s="4"/>
      <c r="P628" s="4"/>
      <c r="Q628" s="4"/>
    </row>
    <row r="629">
      <c r="A629" s="5">
        <v>628.0</v>
      </c>
      <c r="B629" s="5" t="s">
        <v>868</v>
      </c>
      <c r="C629" s="5" t="s">
        <v>18</v>
      </c>
      <c r="D629" s="6">
        <f>IFERROR(__xludf.DUMMYFUNCTION("SPLIT(MID(C629,2,LEN(C629)-2), "","")"),121.0)</f>
        <v>121</v>
      </c>
      <c r="E629" s="7"/>
      <c r="F629" s="7"/>
      <c r="G629" s="2" t="str">
        <f t="array" ref="G629">IF(ISBLANK(D629), "", INDEX(Categories!$B:$B,MATCH(D629,Categories!$A:$A,0)))</f>
        <v>Insurance</v>
      </c>
      <c r="H629" s="7" t="str">
        <f t="array" ref="H629">IF(ISBLANK(E629), "", INDEX(Categories!$B:$B,MATCH(E629,Categories!$A:$A,0)))</f>
        <v/>
      </c>
      <c r="I629" s="7" t="str">
        <f t="array" ref="I629">IF(ISBLANK(F629), "", INDEX(Categories!$B:$B,MATCH(F629,Categories!$A:$A,0)))</f>
        <v/>
      </c>
      <c r="J629" s="4"/>
      <c r="K629" s="4"/>
      <c r="L629" s="4"/>
      <c r="M629" s="4"/>
      <c r="N629" s="4"/>
      <c r="O629" s="4"/>
      <c r="P629" s="4"/>
      <c r="Q629" s="4"/>
    </row>
    <row r="630">
      <c r="A630" s="5">
        <v>629.0</v>
      </c>
      <c r="B630" s="5" t="s">
        <v>869</v>
      </c>
      <c r="C630" s="5" t="s">
        <v>870</v>
      </c>
      <c r="D630" s="6">
        <f>IFERROR(__xludf.DUMMYFUNCTION("SPLIT(MID(C630,2,LEN(C630)-2), "","")"),236.0)</f>
        <v>236</v>
      </c>
      <c r="E630" s="7"/>
      <c r="F630" s="7"/>
      <c r="G630" s="2" t="str">
        <f t="array" ref="G630">IF(ISBLANK(D630), "", INDEX(Categories!$B:$B,MATCH(D630,Categories!$A:$A,0)))</f>
        <v>Restaurants Cafeterias</v>
      </c>
      <c r="H630" s="7" t="str">
        <f t="array" ref="H630">IF(ISBLANK(E630), "", INDEX(Categories!$B:$B,MATCH(E630,Categories!$A:$A,0)))</f>
        <v/>
      </c>
      <c r="I630" s="7" t="str">
        <f t="array" ref="I630">IF(ISBLANK(F630), "", INDEX(Categories!$B:$B,MATCH(F630,Categories!$A:$A,0)))</f>
        <v/>
      </c>
      <c r="J630" s="4"/>
      <c r="K630" s="4"/>
      <c r="L630" s="4"/>
      <c r="M630" s="4"/>
      <c r="N630" s="4"/>
      <c r="O630" s="4"/>
      <c r="P630" s="4"/>
      <c r="Q630" s="4"/>
    </row>
    <row r="631">
      <c r="A631" s="5">
        <v>630.0</v>
      </c>
      <c r="B631" s="5" t="s">
        <v>871</v>
      </c>
      <c r="C631" s="5" t="s">
        <v>484</v>
      </c>
      <c r="D631" s="6">
        <f>IFERROR(__xludf.DUMMYFUNCTION("SPLIT(MID(C631,2,LEN(C631)-2), "","")"),573.0)</f>
        <v>573</v>
      </c>
      <c r="E631" s="7"/>
      <c r="F631" s="7"/>
      <c r="G631" s="2" t="str">
        <f t="array" ref="G631">IF(ISBLANK(D631), "", INDEX(Categories!$B:$B,MATCH(D631,Categories!$A:$A,0)))</f>
        <v>Bagels</v>
      </c>
      <c r="H631" s="7" t="str">
        <f t="array" ref="H631">IF(ISBLANK(E631), "", INDEX(Categories!$B:$B,MATCH(E631,Categories!$A:$A,0)))</f>
        <v/>
      </c>
      <c r="I631" s="7" t="str">
        <f t="array" ref="I631">IF(ISBLANK(F631), "", INDEX(Categories!$B:$B,MATCH(F631,Categories!$A:$A,0)))</f>
        <v/>
      </c>
      <c r="J631" s="4"/>
      <c r="K631" s="4"/>
      <c r="L631" s="4"/>
      <c r="M631" s="4"/>
      <c r="N631" s="4"/>
      <c r="O631" s="4"/>
      <c r="P631" s="4"/>
      <c r="Q631" s="4"/>
    </row>
    <row r="632">
      <c r="A632" s="5">
        <v>631.0</v>
      </c>
      <c r="B632" s="5" t="s">
        <v>872</v>
      </c>
      <c r="C632" s="5" t="s">
        <v>873</v>
      </c>
      <c r="D632" s="6">
        <f>IFERROR(__xludf.DUMMYFUNCTION("SPLIT(MID(C632,2,LEN(C632)-2), "","")"),2748.0)</f>
        <v>2748</v>
      </c>
      <c r="E632" s="7"/>
      <c r="F632" s="7"/>
      <c r="G632" s="2" t="str">
        <f t="array" ref="G632">IF(ISBLANK(D632), "", INDEX(Categories!$B:$B,MATCH(D632,Categories!$A:$A,0)))</f>
        <v>Stone Crushed</v>
      </c>
      <c r="H632" s="7" t="str">
        <f t="array" ref="H632">IF(ISBLANK(E632), "", INDEX(Categories!$B:$B,MATCH(E632,Categories!$A:$A,0)))</f>
        <v/>
      </c>
      <c r="I632" s="7" t="str">
        <f t="array" ref="I632">IF(ISBLANK(F632), "", INDEX(Categories!$B:$B,MATCH(F632,Categories!$A:$A,0)))</f>
        <v/>
      </c>
      <c r="J632" s="4"/>
      <c r="K632" s="4"/>
      <c r="L632" s="4"/>
      <c r="M632" s="4"/>
      <c r="N632" s="4"/>
      <c r="O632" s="4"/>
      <c r="P632" s="4"/>
      <c r="Q632" s="4"/>
    </row>
    <row r="633">
      <c r="A633" s="5">
        <v>632.0</v>
      </c>
      <c r="B633" s="5" t="s">
        <v>874</v>
      </c>
      <c r="C633" s="5" t="s">
        <v>842</v>
      </c>
      <c r="D633" s="6">
        <f>IFERROR(__xludf.DUMMYFUNCTION("SPLIT(MID(C633,2,LEN(C633)-2), "","")"),2860.0)</f>
        <v>2860</v>
      </c>
      <c r="E633" s="7"/>
      <c r="F633" s="7"/>
      <c r="G633" s="2" t="str">
        <f t="array" ref="G633">IF(ISBLANK(D633), "", INDEX(Categories!$B:$B,MATCH(D633,Categories!$A:$A,0)))</f>
        <v>Armed Forces</v>
      </c>
      <c r="H633" s="7" t="str">
        <f t="array" ref="H633">IF(ISBLANK(E633), "", INDEX(Categories!$B:$B,MATCH(E633,Categories!$A:$A,0)))</f>
        <v/>
      </c>
      <c r="I633" s="7" t="str">
        <f t="array" ref="I633">IF(ISBLANK(F633), "", INDEX(Categories!$B:$B,MATCH(F633,Categories!$A:$A,0)))</f>
        <v/>
      </c>
      <c r="J633" s="4"/>
      <c r="K633" s="4"/>
      <c r="L633" s="4"/>
      <c r="M633" s="4"/>
      <c r="N633" s="4"/>
      <c r="O633" s="4"/>
      <c r="P633" s="4"/>
      <c r="Q633" s="4"/>
    </row>
    <row r="634">
      <c r="A634" s="5">
        <v>633.0</v>
      </c>
      <c r="B634" s="5" t="s">
        <v>875</v>
      </c>
      <c r="C634" s="5" t="s">
        <v>69</v>
      </c>
      <c r="D634" s="6">
        <f>IFERROR(__xludf.DUMMYFUNCTION("SPLIT(MID(C634,2,LEN(C634)-2), "","")"),293.0)</f>
        <v>293</v>
      </c>
      <c r="E634" s="7"/>
      <c r="F634" s="7"/>
      <c r="G634" s="2" t="str">
        <f t="array" ref="G634">IF(ISBLANK(D634), "", INDEX(Categories!$B:$B,MATCH(D634,Categories!$A:$A,0)))</f>
        <v>Banks Commercial</v>
      </c>
      <c r="H634" s="7" t="str">
        <f t="array" ref="H634">IF(ISBLANK(E634), "", INDEX(Categories!$B:$B,MATCH(E634,Categories!$A:$A,0)))</f>
        <v/>
      </c>
      <c r="I634" s="7" t="str">
        <f t="array" ref="I634">IF(ISBLANK(F634), "", INDEX(Categories!$B:$B,MATCH(F634,Categories!$A:$A,0)))</f>
        <v/>
      </c>
      <c r="J634" s="4"/>
      <c r="K634" s="4"/>
      <c r="L634" s="4"/>
      <c r="M634" s="4"/>
      <c r="N634" s="4"/>
      <c r="O634" s="4"/>
      <c r="P634" s="4"/>
      <c r="Q634" s="4"/>
    </row>
    <row r="635">
      <c r="A635" s="5">
        <v>634.0</v>
      </c>
      <c r="B635" s="5" t="s">
        <v>876</v>
      </c>
      <c r="C635" s="5" t="s">
        <v>368</v>
      </c>
      <c r="D635" s="6">
        <f>IFERROR(__xludf.DUMMYFUNCTION("SPLIT(MID(C635,2,LEN(C635)-2), "","")"),1000.0)</f>
        <v>1000</v>
      </c>
      <c r="E635" s="7"/>
      <c r="F635" s="7"/>
      <c r="G635" s="2" t="str">
        <f t="array" ref="G635">IF(ISBLANK(D635), "", INDEX(Categories!$B:$B,MATCH(D635,Categories!$A:$A,0)))</f>
        <v>Telephone Companies</v>
      </c>
      <c r="H635" s="7" t="str">
        <f t="array" ref="H635">IF(ISBLANK(E635), "", INDEX(Categories!$B:$B,MATCH(E635,Categories!$A:$A,0)))</f>
        <v/>
      </c>
      <c r="I635" s="7" t="str">
        <f t="array" ref="I635">IF(ISBLANK(F635), "", INDEX(Categories!$B:$B,MATCH(F635,Categories!$A:$A,0)))</f>
        <v/>
      </c>
      <c r="J635" s="4"/>
      <c r="K635" s="4"/>
      <c r="L635" s="4"/>
      <c r="M635" s="4"/>
      <c r="N635" s="4"/>
      <c r="O635" s="4"/>
      <c r="P635" s="4"/>
      <c r="Q635" s="4"/>
    </row>
    <row r="636">
      <c r="A636" s="5">
        <v>635.0</v>
      </c>
      <c r="B636" s="5" t="s">
        <v>877</v>
      </c>
      <c r="C636" s="5" t="s">
        <v>170</v>
      </c>
      <c r="D636" s="6">
        <f>IFERROR(__xludf.DUMMYFUNCTION("SPLIT(MID(C636,2,LEN(C636)-2), "","")"),189.0)</f>
        <v>189</v>
      </c>
      <c r="E636" s="7"/>
      <c r="F636" s="7"/>
      <c r="G636" s="2" t="str">
        <f t="array" ref="G636">IF(ISBLANK(D636), "", INDEX(Categories!$B:$B,MATCH(D636,Categories!$A:$A,0)))</f>
        <v>Pharmacies</v>
      </c>
      <c r="H636" s="7" t="str">
        <f t="array" ref="H636">IF(ISBLANK(E636), "", INDEX(Categories!$B:$B,MATCH(E636,Categories!$A:$A,0)))</f>
        <v/>
      </c>
      <c r="I636" s="7" t="str">
        <f t="array" ref="I636">IF(ISBLANK(F636), "", INDEX(Categories!$B:$B,MATCH(F636,Categories!$A:$A,0)))</f>
        <v/>
      </c>
      <c r="J636" s="4"/>
      <c r="K636" s="4"/>
      <c r="L636" s="4"/>
      <c r="M636" s="4"/>
      <c r="N636" s="4"/>
      <c r="O636" s="4"/>
      <c r="P636" s="4"/>
      <c r="Q636" s="4"/>
    </row>
    <row r="637">
      <c r="A637" s="5">
        <v>636.0</v>
      </c>
      <c r="B637" s="5" t="s">
        <v>878</v>
      </c>
      <c r="C637" s="5" t="s">
        <v>879</v>
      </c>
      <c r="D637" s="6">
        <f>IFERROR(__xludf.DUMMYFUNCTION("SPLIT(MID(C637,2,LEN(C637)-2), "","")"),1935.0)</f>
        <v>1935</v>
      </c>
      <c r="E637" s="7"/>
      <c r="F637" s="7"/>
      <c r="G637" s="2" t="str">
        <f t="array" ref="G637">IF(ISBLANK(D637), "", INDEX(Categories!$B:$B,MATCH(D637,Categories!$A:$A,0)))</f>
        <v>Photo Finishing</v>
      </c>
      <c r="H637" s="7" t="str">
        <f t="array" ref="H637">IF(ISBLANK(E637), "", INDEX(Categories!$B:$B,MATCH(E637,Categories!$A:$A,0)))</f>
        <v/>
      </c>
      <c r="I637" s="7" t="str">
        <f t="array" ref="I637">IF(ISBLANK(F637), "", INDEX(Categories!$B:$B,MATCH(F637,Categories!$A:$A,0)))</f>
        <v/>
      </c>
      <c r="J637" s="4"/>
      <c r="K637" s="4"/>
      <c r="L637" s="4"/>
      <c r="M637" s="4"/>
      <c r="N637" s="4"/>
      <c r="O637" s="4"/>
      <c r="P637" s="4"/>
      <c r="Q637" s="4"/>
    </row>
    <row r="638">
      <c r="A638" s="5">
        <v>637.0</v>
      </c>
      <c r="B638" s="5" t="s">
        <v>880</v>
      </c>
      <c r="C638" s="5" t="s">
        <v>842</v>
      </c>
      <c r="D638" s="6">
        <f>IFERROR(__xludf.DUMMYFUNCTION("SPLIT(MID(C638,2,LEN(C638)-2), "","")"),2860.0)</f>
        <v>2860</v>
      </c>
      <c r="E638" s="7"/>
      <c r="F638" s="7"/>
      <c r="G638" s="2" t="str">
        <f t="array" ref="G638">IF(ISBLANK(D638), "", INDEX(Categories!$B:$B,MATCH(D638,Categories!$A:$A,0)))</f>
        <v>Armed Forces</v>
      </c>
      <c r="H638" s="7" t="str">
        <f t="array" ref="H638">IF(ISBLANK(E638), "", INDEX(Categories!$B:$B,MATCH(E638,Categories!$A:$A,0)))</f>
        <v/>
      </c>
      <c r="I638" s="7" t="str">
        <f t="array" ref="I638">IF(ISBLANK(F638), "", INDEX(Categories!$B:$B,MATCH(F638,Categories!$A:$A,0)))</f>
        <v/>
      </c>
      <c r="J638" s="4"/>
      <c r="K638" s="4"/>
      <c r="L638" s="4"/>
      <c r="M638" s="4"/>
      <c r="N638" s="4"/>
      <c r="O638" s="4"/>
      <c r="P638" s="4"/>
      <c r="Q638" s="4"/>
    </row>
    <row r="639">
      <c r="A639" s="5">
        <v>638.0</v>
      </c>
      <c r="B639" s="5" t="s">
        <v>881</v>
      </c>
      <c r="C639" s="5" t="s">
        <v>882</v>
      </c>
      <c r="D639" s="6">
        <f>IFERROR(__xludf.DUMMYFUNCTION("SPLIT(MID(C639,2,LEN(C639)-2), "","")"),1310.0)</f>
        <v>1310</v>
      </c>
      <c r="E639" s="7"/>
      <c r="F639" s="7"/>
      <c r="G639" s="2" t="str">
        <f t="array" ref="G639">IF(ISBLANK(D639), "", INDEX(Categories!$B:$B,MATCH(D639,Categories!$A:$A,0)))</f>
        <v>Consultants - Environment</v>
      </c>
      <c r="H639" s="7" t="str">
        <f t="array" ref="H639">IF(ISBLANK(E639), "", INDEX(Categories!$B:$B,MATCH(E639,Categories!$A:$A,0)))</f>
        <v/>
      </c>
      <c r="I639" s="7" t="str">
        <f t="array" ref="I639">IF(ISBLANK(F639), "", INDEX(Categories!$B:$B,MATCH(F639,Categories!$A:$A,0)))</f>
        <v/>
      </c>
      <c r="J639" s="4"/>
      <c r="K639" s="4"/>
      <c r="L639" s="4"/>
      <c r="M639" s="4"/>
      <c r="N639" s="4"/>
      <c r="O639" s="4"/>
      <c r="P639" s="4"/>
      <c r="Q639" s="4"/>
    </row>
    <row r="640">
      <c r="A640" s="5">
        <v>639.0</v>
      </c>
      <c r="B640" s="5" t="s">
        <v>883</v>
      </c>
      <c r="C640" s="5" t="s">
        <v>488</v>
      </c>
      <c r="D640" s="6">
        <f>IFERROR(__xludf.DUMMYFUNCTION("SPLIT(MID(C640,2,LEN(C640)-2), "","")"),1481.0)</f>
        <v>1481</v>
      </c>
      <c r="E640" s="7"/>
      <c r="F640" s="7"/>
      <c r="G640" s="2" t="str">
        <f t="array" ref="G640">IF(ISBLANK(D640), "", INDEX(Categories!$B:$B,MATCH(D640,Categories!$A:$A,0)))</f>
        <v>Railroad Companies</v>
      </c>
      <c r="H640" s="7" t="str">
        <f t="array" ref="H640">IF(ISBLANK(E640), "", INDEX(Categories!$B:$B,MATCH(E640,Categories!$A:$A,0)))</f>
        <v/>
      </c>
      <c r="I640" s="7" t="str">
        <f t="array" ref="I640">IF(ISBLANK(F640), "", INDEX(Categories!$B:$B,MATCH(F640,Categories!$A:$A,0)))</f>
        <v/>
      </c>
      <c r="J640" s="4"/>
      <c r="K640" s="4"/>
      <c r="L640" s="4"/>
      <c r="M640" s="4"/>
      <c r="N640" s="4"/>
      <c r="O640" s="4"/>
      <c r="P640" s="4"/>
      <c r="Q640" s="4"/>
    </row>
    <row r="641">
      <c r="A641" s="5">
        <v>640.0</v>
      </c>
      <c r="B641" s="5" t="s">
        <v>884</v>
      </c>
      <c r="C641" s="5" t="s">
        <v>149</v>
      </c>
      <c r="D641" s="6">
        <f>IFERROR(__xludf.DUMMYFUNCTION("SPLIT(MID(C641,2,LEN(C641)-2), "","")"),560.0)</f>
        <v>560</v>
      </c>
      <c r="E641" s="7"/>
      <c r="F641" s="7"/>
      <c r="G641" s="2" t="str">
        <f t="array" ref="G641">IF(ISBLANK(D641), "", INDEX(Categories!$B:$B,MATCH(D641,Categories!$A:$A,0)))</f>
        <v>Employment Contractors Temporary Help Services</v>
      </c>
      <c r="H641" s="7" t="str">
        <f t="array" ref="H641">IF(ISBLANK(E641), "", INDEX(Categories!$B:$B,MATCH(E641,Categories!$A:$A,0)))</f>
        <v/>
      </c>
      <c r="I641" s="7" t="str">
        <f t="array" ref="I641">IF(ISBLANK(F641), "", INDEX(Categories!$B:$B,MATCH(F641,Categories!$A:$A,0)))</f>
        <v/>
      </c>
      <c r="J641" s="4"/>
      <c r="K641" s="4"/>
      <c r="L641" s="4"/>
      <c r="M641" s="4"/>
      <c r="N641" s="4"/>
      <c r="O641" s="4"/>
      <c r="P641" s="4"/>
      <c r="Q641" s="4"/>
    </row>
    <row r="642">
      <c r="A642" s="5">
        <v>641.0</v>
      </c>
      <c r="B642" s="5" t="s">
        <v>885</v>
      </c>
      <c r="C642" s="5" t="s">
        <v>69</v>
      </c>
      <c r="D642" s="6">
        <f>IFERROR(__xludf.DUMMYFUNCTION("SPLIT(MID(C642,2,LEN(C642)-2), "","")"),293.0)</f>
        <v>293</v>
      </c>
      <c r="E642" s="7"/>
      <c r="F642" s="7"/>
      <c r="G642" s="2" t="str">
        <f t="array" ref="G642">IF(ISBLANK(D642), "", INDEX(Categories!$B:$B,MATCH(D642,Categories!$A:$A,0)))</f>
        <v>Banks Commercial</v>
      </c>
      <c r="H642" s="7" t="str">
        <f t="array" ref="H642">IF(ISBLANK(E642), "", INDEX(Categories!$B:$B,MATCH(E642,Categories!$A:$A,0)))</f>
        <v/>
      </c>
      <c r="I642" s="7" t="str">
        <f t="array" ref="I642">IF(ISBLANK(F642), "", INDEX(Categories!$B:$B,MATCH(F642,Categories!$A:$A,0)))</f>
        <v/>
      </c>
      <c r="J642" s="4"/>
      <c r="K642" s="4"/>
      <c r="L642" s="4"/>
      <c r="M642" s="4"/>
      <c r="N642" s="4"/>
      <c r="O642" s="4"/>
      <c r="P642" s="4"/>
      <c r="Q642" s="4"/>
    </row>
    <row r="643">
      <c r="A643" s="5">
        <v>642.0</v>
      </c>
      <c r="B643" s="5" t="s">
        <v>886</v>
      </c>
      <c r="C643" s="5" t="s">
        <v>801</v>
      </c>
      <c r="D643" s="6">
        <f>IFERROR(__xludf.DUMMYFUNCTION("SPLIT(MID(C643,2,LEN(C643)-2), "","")"),1886.0)</f>
        <v>1886</v>
      </c>
      <c r="E643" s="7"/>
      <c r="F643" s="7"/>
      <c r="G643" s="2" t="str">
        <f t="array" ref="G643">IF(ISBLANK(D643), "", INDEX(Categories!$B:$B,MATCH(D643,Categories!$A:$A,0)))</f>
        <v>Pet Shops</v>
      </c>
      <c r="H643" s="7" t="str">
        <f t="array" ref="H643">IF(ISBLANK(E643), "", INDEX(Categories!$B:$B,MATCH(E643,Categories!$A:$A,0)))</f>
        <v/>
      </c>
      <c r="I643" s="7" t="str">
        <f t="array" ref="I643">IF(ISBLANK(F643), "", INDEX(Categories!$B:$B,MATCH(F643,Categories!$A:$A,0)))</f>
        <v/>
      </c>
      <c r="J643" s="4"/>
      <c r="K643" s="4"/>
      <c r="L643" s="4"/>
      <c r="M643" s="4"/>
      <c r="N643" s="4"/>
      <c r="O643" s="4"/>
      <c r="P643" s="4"/>
      <c r="Q643" s="4"/>
    </row>
    <row r="644">
      <c r="A644" s="5">
        <v>643.0</v>
      </c>
      <c r="B644" s="5" t="s">
        <v>887</v>
      </c>
      <c r="C644" s="5" t="s">
        <v>801</v>
      </c>
      <c r="D644" s="6">
        <f>IFERROR(__xludf.DUMMYFUNCTION("SPLIT(MID(C644,2,LEN(C644)-2), "","")"),1886.0)</f>
        <v>1886</v>
      </c>
      <c r="E644" s="7"/>
      <c r="F644" s="7"/>
      <c r="G644" s="2" t="str">
        <f t="array" ref="G644">IF(ISBLANK(D644), "", INDEX(Categories!$B:$B,MATCH(D644,Categories!$A:$A,0)))</f>
        <v>Pet Shops</v>
      </c>
      <c r="H644" s="7" t="str">
        <f t="array" ref="H644">IF(ISBLANK(E644), "", INDEX(Categories!$B:$B,MATCH(E644,Categories!$A:$A,0)))</f>
        <v/>
      </c>
      <c r="I644" s="7" t="str">
        <f t="array" ref="I644">IF(ISBLANK(F644), "", INDEX(Categories!$B:$B,MATCH(F644,Categories!$A:$A,0)))</f>
        <v/>
      </c>
      <c r="J644" s="4"/>
      <c r="K644" s="4"/>
      <c r="L644" s="4"/>
      <c r="M644" s="4"/>
      <c r="N644" s="4"/>
      <c r="O644" s="4"/>
      <c r="P644" s="4"/>
      <c r="Q644" s="4"/>
    </row>
    <row r="645">
      <c r="A645" s="5">
        <v>644.0</v>
      </c>
      <c r="B645" s="5" t="s">
        <v>888</v>
      </c>
      <c r="C645" s="5" t="s">
        <v>364</v>
      </c>
      <c r="D645" s="6">
        <f>IFERROR(__xludf.DUMMYFUNCTION("SPLIT(MID(C645,2,LEN(C645)-2), "","")"),555.0)</f>
        <v>555</v>
      </c>
      <c r="E645" s="7"/>
      <c r="F645" s="7"/>
      <c r="G645" s="2" t="str">
        <f t="array" ref="G645">IF(ISBLANK(D645), "", INDEX(Categories!$B:$B,MATCH(D645,Categories!$A:$A,0)))</f>
        <v>Dry Cleaners</v>
      </c>
      <c r="H645" s="7" t="str">
        <f t="array" ref="H645">IF(ISBLANK(E645), "", INDEX(Categories!$B:$B,MATCH(E645,Categories!$A:$A,0)))</f>
        <v/>
      </c>
      <c r="I645" s="7" t="str">
        <f t="array" ref="I645">IF(ISBLANK(F645), "", INDEX(Categories!$B:$B,MATCH(F645,Categories!$A:$A,0)))</f>
        <v/>
      </c>
      <c r="J645" s="4"/>
      <c r="K645" s="4"/>
      <c r="L645" s="4"/>
      <c r="M645" s="4"/>
      <c r="N645" s="4"/>
      <c r="O645" s="4"/>
      <c r="P645" s="4"/>
      <c r="Q645" s="4"/>
    </row>
    <row r="646">
      <c r="A646" s="5">
        <v>645.0</v>
      </c>
      <c r="B646" s="5" t="s">
        <v>889</v>
      </c>
      <c r="C646" s="5" t="s">
        <v>62</v>
      </c>
      <c r="D646" s="6">
        <f>IFERROR(__xludf.DUMMYFUNCTION("SPLIT(MID(C646,2,LEN(C646)-2), "","")"),242.0)</f>
        <v>242</v>
      </c>
      <c r="E646" s="7"/>
      <c r="F646" s="7"/>
      <c r="G646" s="2" t="str">
        <f t="array" ref="G646">IF(ISBLANK(D646), "", INDEX(Categories!$B:$B,MATCH(D646,Categories!$A:$A,0)))</f>
        <v>Restaurants Pizza</v>
      </c>
      <c r="H646" s="7" t="str">
        <f t="array" ref="H646">IF(ISBLANK(E646), "", INDEX(Categories!$B:$B,MATCH(E646,Categories!$A:$A,0)))</f>
        <v/>
      </c>
      <c r="I646" s="7" t="str">
        <f t="array" ref="I646">IF(ISBLANK(F646), "", INDEX(Categories!$B:$B,MATCH(F646,Categories!$A:$A,0)))</f>
        <v/>
      </c>
      <c r="J646" s="4"/>
      <c r="K646" s="4"/>
      <c r="L646" s="4"/>
      <c r="M646" s="4"/>
      <c r="N646" s="4"/>
      <c r="O646" s="4"/>
      <c r="P646" s="4"/>
      <c r="Q646" s="4"/>
    </row>
    <row r="647">
      <c r="A647" s="5">
        <v>646.0</v>
      </c>
      <c r="B647" s="5" t="s">
        <v>890</v>
      </c>
      <c r="C647" s="5" t="s">
        <v>360</v>
      </c>
      <c r="D647" s="6">
        <f>IFERROR(__xludf.DUMMYFUNCTION("SPLIT(MID(C647,2,LEN(C647)-2), "","")"),2021.0)</f>
        <v>2021</v>
      </c>
      <c r="E647" s="7"/>
      <c r="F647" s="7"/>
      <c r="G647" s="2" t="str">
        <f t="array" ref="G647">IF(ISBLANK(D647), "", INDEX(Categories!$B:$B,MATCH(D647,Categories!$A:$A,0)))</f>
        <v>Health Services</v>
      </c>
      <c r="H647" s="7" t="str">
        <f t="array" ref="H647">IF(ISBLANK(E647), "", INDEX(Categories!$B:$B,MATCH(E647,Categories!$A:$A,0)))</f>
        <v/>
      </c>
      <c r="I647" s="7" t="str">
        <f t="array" ref="I647">IF(ISBLANK(F647), "", INDEX(Categories!$B:$B,MATCH(F647,Categories!$A:$A,0)))</f>
        <v/>
      </c>
      <c r="J647" s="4"/>
      <c r="K647" s="4"/>
      <c r="L647" s="4"/>
      <c r="M647" s="4"/>
      <c r="N647" s="4"/>
      <c r="O647" s="4"/>
      <c r="P647" s="4"/>
      <c r="Q647" s="4"/>
    </row>
    <row r="648">
      <c r="A648" s="5">
        <v>647.0</v>
      </c>
      <c r="B648" s="5" t="s">
        <v>891</v>
      </c>
      <c r="C648" s="5" t="s">
        <v>10</v>
      </c>
      <c r="D648" s="6">
        <f>IFERROR(__xludf.DUMMYFUNCTION("SPLIT(MID(C648,2,LEN(C648)-2), "","")"),1168.0)</f>
        <v>1168</v>
      </c>
      <c r="E648" s="7"/>
      <c r="F648" s="7"/>
      <c r="G648" s="2" t="str">
        <f t="array" ref="G648">IF(ISBLANK(D648), "", INDEX(Categories!$B:$B,MATCH(D648,Categories!$A:$A,0)))</f>
        <v>Convenience Stores</v>
      </c>
      <c r="H648" s="7" t="str">
        <f t="array" ref="H648">IF(ISBLANK(E648), "", INDEX(Categories!$B:$B,MATCH(E648,Categories!$A:$A,0)))</f>
        <v/>
      </c>
      <c r="I648" s="7" t="str">
        <f t="array" ref="I648">IF(ISBLANK(F648), "", INDEX(Categories!$B:$B,MATCH(F648,Categories!$A:$A,0)))</f>
        <v/>
      </c>
      <c r="J648" s="4"/>
      <c r="K648" s="4"/>
      <c r="L648" s="4"/>
      <c r="M648" s="4"/>
      <c r="N648" s="4"/>
      <c r="O648" s="4"/>
      <c r="P648" s="4"/>
      <c r="Q648" s="4"/>
    </row>
    <row r="649">
      <c r="A649" s="5">
        <v>648.0</v>
      </c>
      <c r="B649" s="5" t="s">
        <v>892</v>
      </c>
      <c r="C649" s="5" t="s">
        <v>423</v>
      </c>
      <c r="D649" s="6">
        <f>IFERROR(__xludf.DUMMYFUNCTION("SPLIT(MID(C649,2,LEN(C649)-2), "","")"),1079.0)</f>
        <v>1079</v>
      </c>
      <c r="E649" s="7"/>
      <c r="F649" s="7"/>
      <c r="G649" s="2" t="str">
        <f t="array" ref="G649">IF(ISBLANK(D649), "", INDEX(Categories!$B:$B,MATCH(D649,Categories!$A:$A,0)))</f>
        <v>Rental Service Stores &amp; Yards</v>
      </c>
      <c r="H649" s="7" t="str">
        <f t="array" ref="H649">IF(ISBLANK(E649), "", INDEX(Categories!$B:$B,MATCH(E649,Categories!$A:$A,0)))</f>
        <v/>
      </c>
      <c r="I649" s="7" t="str">
        <f t="array" ref="I649">IF(ISBLANK(F649), "", INDEX(Categories!$B:$B,MATCH(F649,Categories!$A:$A,0)))</f>
        <v/>
      </c>
      <c r="J649" s="4"/>
      <c r="K649" s="4"/>
      <c r="L649" s="4"/>
      <c r="M649" s="4"/>
      <c r="N649" s="4"/>
      <c r="O649" s="4"/>
      <c r="P649" s="4"/>
      <c r="Q649" s="4"/>
    </row>
    <row r="650">
      <c r="A650" s="5">
        <v>649.0</v>
      </c>
      <c r="B650" s="5" t="s">
        <v>893</v>
      </c>
      <c r="C650" s="5" t="s">
        <v>135</v>
      </c>
      <c r="D650" s="6">
        <f>IFERROR(__xludf.DUMMYFUNCTION("SPLIT(MID(C650,2,LEN(C650)-2), "","")"),96.0)</f>
        <v>96</v>
      </c>
      <c r="E650" s="7"/>
      <c r="F650" s="7"/>
      <c r="G650" s="2" t="str">
        <f t="array" ref="G650">IF(ISBLANK(D650), "", INDEX(Categories!$B:$B,MATCH(D650,Categories!$A:$A,0)))</f>
        <v>Truck Renting &amp; Leasing</v>
      </c>
      <c r="H650" s="7" t="str">
        <f t="array" ref="H650">IF(ISBLANK(E650), "", INDEX(Categories!$B:$B,MATCH(E650,Categories!$A:$A,0)))</f>
        <v/>
      </c>
      <c r="I650" s="7" t="str">
        <f t="array" ref="I650">IF(ISBLANK(F650), "", INDEX(Categories!$B:$B,MATCH(F650,Categories!$A:$A,0)))</f>
        <v/>
      </c>
      <c r="J650" s="4"/>
      <c r="K650" s="4"/>
      <c r="L650" s="4"/>
      <c r="M650" s="4"/>
      <c r="N650" s="4"/>
      <c r="O650" s="4"/>
      <c r="P650" s="4"/>
      <c r="Q650" s="4"/>
    </row>
    <row r="651">
      <c r="A651" s="5">
        <v>650.0</v>
      </c>
      <c r="B651" s="5" t="s">
        <v>894</v>
      </c>
      <c r="C651" s="5" t="s">
        <v>34</v>
      </c>
      <c r="D651" s="6">
        <f>IFERROR(__xludf.DUMMYFUNCTION("SPLIT(MID(C651,2,LEN(C651)-2), "","")"),228.0)</f>
        <v>228</v>
      </c>
      <c r="E651" s="7"/>
      <c r="F651" s="7"/>
      <c r="G651" s="2" t="str">
        <f t="array" ref="G651">IF(ISBLANK(D651), "", INDEX(Categories!$B:$B,MATCH(D651,Categories!$A:$A,0)))</f>
        <v>Restaurants</v>
      </c>
      <c r="H651" s="7" t="str">
        <f t="array" ref="H651">IF(ISBLANK(E651), "", INDEX(Categories!$B:$B,MATCH(E651,Categories!$A:$A,0)))</f>
        <v/>
      </c>
      <c r="I651" s="7" t="str">
        <f t="array" ref="I651">IF(ISBLANK(F651), "", INDEX(Categories!$B:$B,MATCH(F651,Categories!$A:$A,0)))</f>
        <v/>
      </c>
      <c r="J651" s="4"/>
      <c r="K651" s="4"/>
      <c r="L651" s="4"/>
      <c r="M651" s="4"/>
      <c r="N651" s="4"/>
      <c r="O651" s="4"/>
      <c r="P651" s="4"/>
      <c r="Q651" s="4"/>
    </row>
    <row r="652">
      <c r="A652" s="5">
        <v>651.0</v>
      </c>
      <c r="B652" s="5" t="s">
        <v>895</v>
      </c>
      <c r="C652" s="5" t="s">
        <v>685</v>
      </c>
      <c r="D652" s="6">
        <f>IFERROR(__xludf.DUMMYFUNCTION("SPLIT(MID(C652,2,LEN(C652)-2), "","")"),2256.0)</f>
        <v>2256</v>
      </c>
      <c r="E652" s="7"/>
      <c r="F652" s="7"/>
      <c r="G652" s="2" t="str">
        <f t="array" ref="G652">IF(ISBLANK(D652), "", INDEX(Categories!$B:$B,MATCH(D652,Categories!$A:$A,0)))</f>
        <v>Elevators</v>
      </c>
      <c r="H652" s="7" t="str">
        <f t="array" ref="H652">IF(ISBLANK(E652), "", INDEX(Categories!$B:$B,MATCH(E652,Categories!$A:$A,0)))</f>
        <v/>
      </c>
      <c r="I652" s="7" t="str">
        <f t="array" ref="I652">IF(ISBLANK(F652), "", INDEX(Categories!$B:$B,MATCH(F652,Categories!$A:$A,0)))</f>
        <v/>
      </c>
      <c r="J652" s="4"/>
      <c r="K652" s="4"/>
      <c r="L652" s="4"/>
      <c r="M652" s="4"/>
      <c r="N652" s="4"/>
      <c r="O652" s="4"/>
      <c r="P652" s="4"/>
      <c r="Q652" s="4"/>
    </row>
    <row r="653">
      <c r="A653" s="5">
        <v>652.0</v>
      </c>
      <c r="B653" s="5" t="s">
        <v>896</v>
      </c>
      <c r="C653" s="5" t="s">
        <v>897</v>
      </c>
      <c r="D653" s="6">
        <f>IFERROR(__xludf.DUMMYFUNCTION("SPLIT(MID(C653,2,LEN(C653)-2), "","")"),20.0)</f>
        <v>20</v>
      </c>
      <c r="E653" s="7"/>
      <c r="F653" s="7"/>
      <c r="G653" s="2" t="str">
        <f t="array" ref="G653">IF(ISBLANK(D653), "", INDEX(Categories!$B:$B,MATCH(D653,Categories!$A:$A,0)))</f>
        <v>Beds Retail</v>
      </c>
      <c r="H653" s="7" t="str">
        <f t="array" ref="H653">IF(ISBLANK(E653), "", INDEX(Categories!$B:$B,MATCH(E653,Categories!$A:$A,0)))</f>
        <v/>
      </c>
      <c r="I653" s="7" t="str">
        <f t="array" ref="I653">IF(ISBLANK(F653), "", INDEX(Categories!$B:$B,MATCH(F653,Categories!$A:$A,0)))</f>
        <v/>
      </c>
      <c r="J653" s="4"/>
      <c r="K653" s="4"/>
      <c r="L653" s="4"/>
      <c r="M653" s="4"/>
      <c r="N653" s="4"/>
      <c r="O653" s="4"/>
      <c r="P653" s="4"/>
      <c r="Q653" s="4"/>
    </row>
    <row r="654">
      <c r="A654" s="5">
        <v>653.0</v>
      </c>
      <c r="B654" s="5" t="s">
        <v>898</v>
      </c>
      <c r="C654" s="5" t="s">
        <v>58</v>
      </c>
      <c r="D654" s="6">
        <f>IFERROR(__xludf.DUMMYFUNCTION("SPLIT(MID(C654,2,LEN(C654)-2), "","")"),1170.0)</f>
        <v>1170</v>
      </c>
      <c r="E654" s="7"/>
      <c r="F654" s="7"/>
      <c r="G654" s="2" t="str">
        <f t="array" ref="G654">IF(ISBLANK(D654), "", INDEX(Categories!$B:$B,MATCH(D654,Categories!$A:$A,0)))</f>
        <v>Gasoline Retail</v>
      </c>
      <c r="H654" s="7" t="str">
        <f t="array" ref="H654">IF(ISBLANK(E654), "", INDEX(Categories!$B:$B,MATCH(E654,Categories!$A:$A,0)))</f>
        <v/>
      </c>
      <c r="I654" s="7" t="str">
        <f t="array" ref="I654">IF(ISBLANK(F654), "", INDEX(Categories!$B:$B,MATCH(F654,Categories!$A:$A,0)))</f>
        <v/>
      </c>
      <c r="J654" s="4"/>
      <c r="K654" s="4"/>
      <c r="L654" s="4"/>
      <c r="M654" s="4"/>
      <c r="N654" s="4"/>
      <c r="O654" s="4"/>
      <c r="P654" s="4"/>
      <c r="Q654" s="4"/>
    </row>
    <row r="655">
      <c r="A655" s="5">
        <v>654.0</v>
      </c>
      <c r="B655" s="5" t="s">
        <v>899</v>
      </c>
      <c r="C655" s="5" t="s">
        <v>553</v>
      </c>
      <c r="D655" s="6">
        <f>IFERROR(__xludf.DUMMYFUNCTION("SPLIT(MID(C655,2,LEN(C655)-2), "","")"),739.0)</f>
        <v>739</v>
      </c>
      <c r="E655" s="7"/>
      <c r="F655" s="7"/>
      <c r="G655" s="2" t="str">
        <f t="array" ref="G655">IF(ISBLANK(D655), "", INDEX(Categories!$B:$B,MATCH(D655,Categories!$A:$A,0)))</f>
        <v>Shoes &amp; Shoe Repairs</v>
      </c>
      <c r="H655" s="7" t="str">
        <f t="array" ref="H655">IF(ISBLANK(E655), "", INDEX(Categories!$B:$B,MATCH(E655,Categories!$A:$A,0)))</f>
        <v/>
      </c>
      <c r="I655" s="7" t="str">
        <f t="array" ref="I655">IF(ISBLANK(F655), "", INDEX(Categories!$B:$B,MATCH(F655,Categories!$A:$A,0)))</f>
        <v/>
      </c>
      <c r="J655" s="4"/>
      <c r="K655" s="4"/>
      <c r="L655" s="4"/>
      <c r="M655" s="4"/>
      <c r="N655" s="4"/>
      <c r="O655" s="4"/>
      <c r="P655" s="4"/>
      <c r="Q655" s="4"/>
    </row>
    <row r="656">
      <c r="A656" s="5">
        <v>655.0</v>
      </c>
      <c r="B656" s="5" t="s">
        <v>900</v>
      </c>
      <c r="C656" s="5" t="s">
        <v>901</v>
      </c>
      <c r="D656" s="6">
        <f>IFERROR(__xludf.DUMMYFUNCTION("SPLIT(MID(C656,2,LEN(C656)-2), "","")"),971.0)</f>
        <v>971</v>
      </c>
      <c r="E656" s="7"/>
      <c r="F656" s="7"/>
      <c r="G656" s="2" t="str">
        <f t="array" ref="G656">IF(ISBLANK(D656), "", INDEX(Categories!$B:$B,MATCH(D656,Categories!$A:$A,0)))</f>
        <v>Telecommunications Equipment &amp; Services</v>
      </c>
      <c r="H656" s="7" t="str">
        <f t="array" ref="H656">IF(ISBLANK(E656), "", INDEX(Categories!$B:$B,MATCH(E656,Categories!$A:$A,0)))</f>
        <v/>
      </c>
      <c r="I656" s="7" t="str">
        <f t="array" ref="I656">IF(ISBLANK(F656), "", INDEX(Categories!$B:$B,MATCH(F656,Categories!$A:$A,0)))</f>
        <v/>
      </c>
      <c r="J656" s="4"/>
      <c r="K656" s="4"/>
      <c r="L656" s="4"/>
      <c r="M656" s="4"/>
      <c r="N656" s="4"/>
      <c r="O656" s="4"/>
      <c r="P656" s="4"/>
      <c r="Q656" s="4"/>
    </row>
    <row r="657">
      <c r="A657" s="5">
        <v>656.0</v>
      </c>
      <c r="B657" s="5" t="s">
        <v>902</v>
      </c>
      <c r="C657" s="5" t="s">
        <v>69</v>
      </c>
      <c r="D657" s="6">
        <f>IFERROR(__xludf.DUMMYFUNCTION("SPLIT(MID(C657,2,LEN(C657)-2), "","")"),293.0)</f>
        <v>293</v>
      </c>
      <c r="E657" s="7"/>
      <c r="F657" s="7"/>
      <c r="G657" s="2" t="str">
        <f t="array" ref="G657">IF(ISBLANK(D657), "", INDEX(Categories!$B:$B,MATCH(D657,Categories!$A:$A,0)))</f>
        <v>Banks Commercial</v>
      </c>
      <c r="H657" s="7" t="str">
        <f t="array" ref="H657">IF(ISBLANK(E657), "", INDEX(Categories!$B:$B,MATCH(E657,Categories!$A:$A,0)))</f>
        <v/>
      </c>
      <c r="I657" s="7" t="str">
        <f t="array" ref="I657">IF(ISBLANK(F657), "", INDEX(Categories!$B:$B,MATCH(F657,Categories!$A:$A,0)))</f>
        <v/>
      </c>
      <c r="J657" s="4"/>
      <c r="K657" s="4"/>
      <c r="L657" s="4"/>
      <c r="M657" s="4"/>
      <c r="N657" s="4"/>
      <c r="O657" s="4"/>
      <c r="P657" s="4"/>
      <c r="Q657" s="4"/>
    </row>
    <row r="658">
      <c r="A658" s="5">
        <v>657.0</v>
      </c>
      <c r="B658" s="5" t="s">
        <v>903</v>
      </c>
      <c r="C658" s="5" t="s">
        <v>43</v>
      </c>
      <c r="D658" s="6">
        <f>IFERROR(__xludf.DUMMYFUNCTION("SPLIT(MID(C658,2,LEN(C658)-2), "","")"),292.0)</f>
        <v>292</v>
      </c>
      <c r="E658" s="7"/>
      <c r="F658" s="7"/>
      <c r="G658" s="2" t="str">
        <f t="array" ref="G658">IF(ISBLANK(D658), "", INDEX(Categories!$B:$B,MATCH(D658,Categories!$A:$A,0)))</f>
        <v>Banks</v>
      </c>
      <c r="H658" s="7" t="str">
        <f t="array" ref="H658">IF(ISBLANK(E658), "", INDEX(Categories!$B:$B,MATCH(E658,Categories!$A:$A,0)))</f>
        <v/>
      </c>
      <c r="I658" s="7" t="str">
        <f t="array" ref="I658">IF(ISBLANK(F658), "", INDEX(Categories!$B:$B,MATCH(F658,Categories!$A:$A,0)))</f>
        <v/>
      </c>
      <c r="J658" s="4"/>
      <c r="K658" s="4"/>
      <c r="L658" s="4"/>
      <c r="M658" s="4"/>
      <c r="N658" s="4"/>
      <c r="O658" s="4"/>
      <c r="P658" s="4"/>
      <c r="Q658" s="4"/>
    </row>
    <row r="659">
      <c r="A659" s="5">
        <v>658.0</v>
      </c>
      <c r="B659" s="5" t="s">
        <v>904</v>
      </c>
      <c r="C659" s="5" t="s">
        <v>602</v>
      </c>
      <c r="D659" s="6">
        <f>IFERROR(__xludf.DUMMYFUNCTION("SPLIT(MID(C659,2,LEN(C659)-2), "","")"),188.0)</f>
        <v>188</v>
      </c>
      <c r="E659" s="7"/>
      <c r="F659" s="7"/>
      <c r="G659" s="2" t="str">
        <f t="array" ref="G659">IF(ISBLANK(D659), "", INDEX(Categories!$B:$B,MATCH(D659,Categories!$A:$A,0)))</f>
        <v>Rehabilitation Services</v>
      </c>
      <c r="H659" s="7" t="str">
        <f t="array" ref="H659">IF(ISBLANK(E659), "", INDEX(Categories!$B:$B,MATCH(E659,Categories!$A:$A,0)))</f>
        <v/>
      </c>
      <c r="I659" s="7" t="str">
        <f t="array" ref="I659">IF(ISBLANK(F659), "", INDEX(Categories!$B:$B,MATCH(F659,Categories!$A:$A,0)))</f>
        <v/>
      </c>
      <c r="J659" s="4"/>
      <c r="K659" s="4"/>
      <c r="L659" s="4"/>
      <c r="M659" s="4"/>
      <c r="N659" s="4"/>
      <c r="O659" s="4"/>
      <c r="P659" s="4"/>
      <c r="Q659" s="4"/>
    </row>
    <row r="660">
      <c r="A660" s="5">
        <v>659.0</v>
      </c>
      <c r="B660" s="5" t="s">
        <v>905</v>
      </c>
      <c r="C660" s="5" t="s">
        <v>906</v>
      </c>
      <c r="D660" s="6">
        <f>IFERROR(__xludf.DUMMYFUNCTION("SPLIT(MID(C660,2,LEN(C660)-2), "","")"),1394.0)</f>
        <v>1394</v>
      </c>
      <c r="E660" s="7"/>
      <c r="F660" s="7"/>
      <c r="G660" s="2" t="str">
        <f t="array" ref="G660">IF(ISBLANK(D660), "", INDEX(Categories!$B:$B,MATCH(D660,Categories!$A:$A,0)))</f>
        <v>Warehouses Mini &amp; Self Storage</v>
      </c>
      <c r="H660" s="7" t="str">
        <f t="array" ref="H660">IF(ISBLANK(E660), "", INDEX(Categories!$B:$B,MATCH(E660,Categories!$A:$A,0)))</f>
        <v/>
      </c>
      <c r="I660" s="7" t="str">
        <f t="array" ref="I660">IF(ISBLANK(F660), "", INDEX(Categories!$B:$B,MATCH(F660,Categories!$A:$A,0)))</f>
        <v/>
      </c>
      <c r="J660" s="4"/>
      <c r="K660" s="4"/>
      <c r="L660" s="4"/>
      <c r="M660" s="4"/>
      <c r="N660" s="4"/>
      <c r="O660" s="4"/>
      <c r="P660" s="4"/>
      <c r="Q660" s="4"/>
    </row>
    <row r="661">
      <c r="A661" s="5">
        <v>660.0</v>
      </c>
      <c r="B661" s="5" t="s">
        <v>907</v>
      </c>
      <c r="C661" s="5" t="s">
        <v>908</v>
      </c>
      <c r="D661" s="6">
        <f>IFERROR(__xludf.DUMMYFUNCTION("SPLIT(MID(C661,2,LEN(C661)-2), "","")"),1773.0)</f>
        <v>1773</v>
      </c>
      <c r="E661" s="7"/>
      <c r="F661" s="7"/>
      <c r="G661" s="2" t="str">
        <f t="array" ref="G661">IF(ISBLANK(D661), "", INDEX(Categories!$B:$B,MATCH(D661,Categories!$A:$A,0)))</f>
        <v>Martial Arts Instruction</v>
      </c>
      <c r="H661" s="7" t="str">
        <f t="array" ref="H661">IF(ISBLANK(E661), "", INDEX(Categories!$B:$B,MATCH(E661,Categories!$A:$A,0)))</f>
        <v/>
      </c>
      <c r="I661" s="7" t="str">
        <f t="array" ref="I661">IF(ISBLANK(F661), "", INDEX(Categories!$B:$B,MATCH(F661,Categories!$A:$A,0)))</f>
        <v/>
      </c>
      <c r="J661" s="4"/>
      <c r="K661" s="4"/>
      <c r="L661" s="4"/>
      <c r="M661" s="4"/>
      <c r="N661" s="4"/>
      <c r="O661" s="4"/>
      <c r="P661" s="4"/>
      <c r="Q661" s="4"/>
    </row>
    <row r="662">
      <c r="A662" s="5">
        <v>661.0</v>
      </c>
      <c r="B662" s="5" t="s">
        <v>909</v>
      </c>
      <c r="C662" s="5" t="s">
        <v>322</v>
      </c>
      <c r="D662" s="6">
        <f>IFERROR(__xludf.DUMMYFUNCTION("SPLIT(MID(C662,2,LEN(C662)-2), "","")"),561.0)</f>
        <v>561</v>
      </c>
      <c r="E662" s="7"/>
      <c r="F662" s="7"/>
      <c r="G662" s="2" t="str">
        <f t="array" ref="G662">IF(ISBLANK(D662), "", INDEX(Categories!$B:$B,MATCH(D662,Categories!$A:$A,0)))</f>
        <v>Employment Placement Services</v>
      </c>
      <c r="H662" s="7" t="str">
        <f t="array" ref="H662">IF(ISBLANK(E662), "", INDEX(Categories!$B:$B,MATCH(E662,Categories!$A:$A,0)))</f>
        <v/>
      </c>
      <c r="I662" s="7" t="str">
        <f t="array" ref="I662">IF(ISBLANK(F662), "", INDEX(Categories!$B:$B,MATCH(F662,Categories!$A:$A,0)))</f>
        <v/>
      </c>
      <c r="J662" s="4"/>
      <c r="K662" s="4"/>
      <c r="L662" s="4"/>
      <c r="M662" s="4"/>
      <c r="N662" s="4"/>
      <c r="O662" s="4"/>
      <c r="P662" s="4"/>
      <c r="Q662" s="4"/>
    </row>
    <row r="663">
      <c r="A663" s="5">
        <v>662.0</v>
      </c>
      <c r="B663" s="5" t="s">
        <v>910</v>
      </c>
      <c r="C663" s="5" t="s">
        <v>309</v>
      </c>
      <c r="D663" s="6">
        <f>IFERROR(__xludf.DUMMYFUNCTION("SPLIT(MID(C663,2,LEN(C663)-2), "","")"),458.0)</f>
        <v>458</v>
      </c>
      <c r="E663" s="7"/>
      <c r="F663" s="7"/>
      <c r="G663" s="2" t="str">
        <f t="array" ref="G663">IF(ISBLANK(D663), "", INDEX(Categories!$B:$B,MATCH(D663,Categories!$A:$A,0)))</f>
        <v>Real Estate - Brokers &amp; Agents</v>
      </c>
      <c r="H663" s="7" t="str">
        <f t="array" ref="H663">IF(ISBLANK(E663), "", INDEX(Categories!$B:$B,MATCH(E663,Categories!$A:$A,0)))</f>
        <v/>
      </c>
      <c r="I663" s="7" t="str">
        <f t="array" ref="I663">IF(ISBLANK(F663), "", INDEX(Categories!$B:$B,MATCH(F663,Categories!$A:$A,0)))</f>
        <v/>
      </c>
      <c r="J663" s="4"/>
      <c r="K663" s="4"/>
      <c r="L663" s="4"/>
      <c r="M663" s="4"/>
      <c r="N663" s="4"/>
      <c r="O663" s="4"/>
      <c r="P663" s="4"/>
      <c r="Q663" s="4"/>
    </row>
    <row r="664">
      <c r="A664" s="5">
        <v>663.0</v>
      </c>
      <c r="B664" s="5" t="s">
        <v>911</v>
      </c>
      <c r="C664" s="5" t="s">
        <v>18</v>
      </c>
      <c r="D664" s="6">
        <f>IFERROR(__xludf.DUMMYFUNCTION("SPLIT(MID(C664,2,LEN(C664)-2), "","")"),121.0)</f>
        <v>121</v>
      </c>
      <c r="E664" s="7"/>
      <c r="F664" s="7"/>
      <c r="G664" s="2" t="str">
        <f t="array" ref="G664">IF(ISBLANK(D664), "", INDEX(Categories!$B:$B,MATCH(D664,Categories!$A:$A,0)))</f>
        <v>Insurance</v>
      </c>
      <c r="H664" s="7" t="str">
        <f t="array" ref="H664">IF(ISBLANK(E664), "", INDEX(Categories!$B:$B,MATCH(E664,Categories!$A:$A,0)))</f>
        <v/>
      </c>
      <c r="I664" s="7" t="str">
        <f t="array" ref="I664">IF(ISBLANK(F664), "", INDEX(Categories!$B:$B,MATCH(F664,Categories!$A:$A,0)))</f>
        <v/>
      </c>
      <c r="J664" s="4"/>
      <c r="K664" s="4"/>
      <c r="L664" s="4"/>
      <c r="M664" s="4"/>
      <c r="N664" s="4"/>
      <c r="O664" s="4"/>
      <c r="P664" s="4"/>
      <c r="Q664" s="4"/>
    </row>
    <row r="665">
      <c r="A665" s="5">
        <v>664.0</v>
      </c>
      <c r="B665" s="5" t="s">
        <v>912</v>
      </c>
      <c r="C665" s="5" t="s">
        <v>913</v>
      </c>
      <c r="D665" s="6">
        <f>IFERROR(__xludf.DUMMYFUNCTION("SPLIT(MID(C665,2,LEN(C665)-2), "","")"),928.0)</f>
        <v>928</v>
      </c>
      <c r="E665" s="7"/>
      <c r="F665" s="7"/>
      <c r="G665" s="2" t="str">
        <f t="array" ref="G665">IF(ISBLANK(D665), "", INDEX(Categories!$B:$B,MATCH(D665,Categories!$A:$A,0)))</f>
        <v>Counselors Marriage Family Child &amp; Individual</v>
      </c>
      <c r="H665" s="7" t="str">
        <f t="array" ref="H665">IF(ISBLANK(E665), "", INDEX(Categories!$B:$B,MATCH(E665,Categories!$A:$A,0)))</f>
        <v/>
      </c>
      <c r="I665" s="7" t="str">
        <f t="array" ref="I665">IF(ISBLANK(F665), "", INDEX(Categories!$B:$B,MATCH(F665,Categories!$A:$A,0)))</f>
        <v/>
      </c>
      <c r="J665" s="4"/>
      <c r="K665" s="4"/>
      <c r="L665" s="4"/>
      <c r="M665" s="4"/>
      <c r="N665" s="4"/>
      <c r="O665" s="4"/>
      <c r="P665" s="4"/>
      <c r="Q665" s="4"/>
    </row>
    <row r="666">
      <c r="A666" s="5">
        <v>665.0</v>
      </c>
      <c r="B666" s="5" t="s">
        <v>914</v>
      </c>
      <c r="C666" s="5" t="s">
        <v>463</v>
      </c>
      <c r="D666" s="6">
        <f>IFERROR(__xludf.DUMMYFUNCTION("SPLIT(MID(C666,2,LEN(C666)-2), "","")"),2604.0)</f>
        <v>2604</v>
      </c>
      <c r="E666" s="7"/>
      <c r="F666" s="7"/>
      <c r="G666" s="2" t="str">
        <f t="array" ref="G666">IF(ISBLANK(D666), "", INDEX(Categories!$B:$B,MATCH(D666,Categories!$A:$A,0)))</f>
        <v>Health Clubs</v>
      </c>
      <c r="H666" s="7" t="str">
        <f t="array" ref="H666">IF(ISBLANK(E666), "", INDEX(Categories!$B:$B,MATCH(E666,Categories!$A:$A,0)))</f>
        <v/>
      </c>
      <c r="I666" s="7" t="str">
        <f t="array" ref="I666">IF(ISBLANK(F666), "", INDEX(Categories!$B:$B,MATCH(F666,Categories!$A:$A,0)))</f>
        <v/>
      </c>
      <c r="J666" s="4"/>
      <c r="K666" s="4"/>
      <c r="L666" s="4"/>
      <c r="M666" s="4"/>
      <c r="N666" s="4"/>
      <c r="O666" s="4"/>
      <c r="P666" s="4"/>
      <c r="Q666" s="4"/>
    </row>
    <row r="667">
      <c r="A667" s="5">
        <v>666.0</v>
      </c>
      <c r="B667" s="5" t="s">
        <v>915</v>
      </c>
      <c r="C667" s="5" t="s">
        <v>109</v>
      </c>
      <c r="D667" s="6">
        <f>IFERROR(__xludf.DUMMYFUNCTION("SPLIT(MID(C667,2,LEN(C667)-2), "","")"),741.0)</f>
        <v>741</v>
      </c>
      <c r="E667" s="7"/>
      <c r="F667" s="7"/>
      <c r="G667" s="2" t="str">
        <f t="array" ref="G667">IF(ISBLANK(D667), "", INDEX(Categories!$B:$B,MATCH(D667,Categories!$A:$A,0)))</f>
        <v>Shoes</v>
      </c>
      <c r="H667" s="7" t="str">
        <f t="array" ref="H667">IF(ISBLANK(E667), "", INDEX(Categories!$B:$B,MATCH(E667,Categories!$A:$A,0)))</f>
        <v/>
      </c>
      <c r="I667" s="7" t="str">
        <f t="array" ref="I667">IF(ISBLANK(F667), "", INDEX(Categories!$B:$B,MATCH(F667,Categories!$A:$A,0)))</f>
        <v/>
      </c>
      <c r="J667" s="4"/>
      <c r="K667" s="4"/>
      <c r="L667" s="4"/>
      <c r="M667" s="4"/>
      <c r="N667" s="4"/>
      <c r="O667" s="4"/>
      <c r="P667" s="4"/>
      <c r="Q667" s="4"/>
    </row>
    <row r="668">
      <c r="A668" s="5">
        <v>667.0</v>
      </c>
      <c r="B668" s="5" t="s">
        <v>916</v>
      </c>
      <c r="C668" s="5" t="s">
        <v>43</v>
      </c>
      <c r="D668" s="6">
        <f>IFERROR(__xludf.DUMMYFUNCTION("SPLIT(MID(C668,2,LEN(C668)-2), "","")"),292.0)</f>
        <v>292</v>
      </c>
      <c r="E668" s="7"/>
      <c r="F668" s="7"/>
      <c r="G668" s="2" t="str">
        <f t="array" ref="G668">IF(ISBLANK(D668), "", INDEX(Categories!$B:$B,MATCH(D668,Categories!$A:$A,0)))</f>
        <v>Banks</v>
      </c>
      <c r="H668" s="7" t="str">
        <f t="array" ref="H668">IF(ISBLANK(E668), "", INDEX(Categories!$B:$B,MATCH(E668,Categories!$A:$A,0)))</f>
        <v/>
      </c>
      <c r="I668" s="7" t="str">
        <f t="array" ref="I668">IF(ISBLANK(F668), "", INDEX(Categories!$B:$B,MATCH(F668,Categories!$A:$A,0)))</f>
        <v/>
      </c>
      <c r="J668" s="4"/>
      <c r="K668" s="4"/>
      <c r="L668" s="4"/>
      <c r="M668" s="4"/>
      <c r="N668" s="4"/>
      <c r="O668" s="4"/>
      <c r="P668" s="4"/>
      <c r="Q668" s="4"/>
    </row>
    <row r="669">
      <c r="A669" s="5">
        <v>668.0</v>
      </c>
      <c r="B669" s="5" t="s">
        <v>917</v>
      </c>
      <c r="C669" s="5" t="s">
        <v>69</v>
      </c>
      <c r="D669" s="6">
        <f>IFERROR(__xludf.DUMMYFUNCTION("SPLIT(MID(C669,2,LEN(C669)-2), "","")"),293.0)</f>
        <v>293</v>
      </c>
      <c r="E669" s="7"/>
      <c r="F669" s="7"/>
      <c r="G669" s="2" t="str">
        <f t="array" ref="G669">IF(ISBLANK(D669), "", INDEX(Categories!$B:$B,MATCH(D669,Categories!$A:$A,0)))</f>
        <v>Banks Commercial</v>
      </c>
      <c r="H669" s="7" t="str">
        <f t="array" ref="H669">IF(ISBLANK(E669), "", INDEX(Categories!$B:$B,MATCH(E669,Categories!$A:$A,0)))</f>
        <v/>
      </c>
      <c r="I669" s="7" t="str">
        <f t="array" ref="I669">IF(ISBLANK(F669), "", INDEX(Categories!$B:$B,MATCH(F669,Categories!$A:$A,0)))</f>
        <v/>
      </c>
      <c r="J669" s="4"/>
      <c r="K669" s="4"/>
      <c r="L669" s="4"/>
      <c r="M669" s="4"/>
      <c r="N669" s="4"/>
      <c r="O669" s="4"/>
      <c r="P669" s="4"/>
      <c r="Q669" s="4"/>
    </row>
    <row r="670">
      <c r="A670" s="5">
        <v>669.0</v>
      </c>
      <c r="B670" s="5" t="s">
        <v>918</v>
      </c>
      <c r="C670" s="5" t="s">
        <v>69</v>
      </c>
      <c r="D670" s="6">
        <f>IFERROR(__xludf.DUMMYFUNCTION("SPLIT(MID(C670,2,LEN(C670)-2), "","")"),293.0)</f>
        <v>293</v>
      </c>
      <c r="E670" s="7"/>
      <c r="F670" s="7"/>
      <c r="G670" s="2" t="str">
        <f t="array" ref="G670">IF(ISBLANK(D670), "", INDEX(Categories!$B:$B,MATCH(D670,Categories!$A:$A,0)))</f>
        <v>Banks Commercial</v>
      </c>
      <c r="H670" s="7" t="str">
        <f t="array" ref="H670">IF(ISBLANK(E670), "", INDEX(Categories!$B:$B,MATCH(E670,Categories!$A:$A,0)))</f>
        <v/>
      </c>
      <c r="I670" s="7" t="str">
        <f t="array" ref="I670">IF(ISBLANK(F670), "", INDEX(Categories!$B:$B,MATCH(F670,Categories!$A:$A,0)))</f>
        <v/>
      </c>
      <c r="J670" s="4"/>
      <c r="K670" s="4"/>
      <c r="L670" s="4"/>
      <c r="M670" s="4"/>
      <c r="N670" s="4"/>
      <c r="O670" s="4"/>
      <c r="P670" s="4"/>
      <c r="Q670" s="4"/>
    </row>
    <row r="671">
      <c r="A671" s="5">
        <v>670.0</v>
      </c>
      <c r="B671" s="5" t="s">
        <v>919</v>
      </c>
      <c r="C671" s="5" t="s">
        <v>346</v>
      </c>
      <c r="D671" s="6">
        <f>IFERROR(__xludf.DUMMYFUNCTION("SPLIT(MID(C671,2,LEN(C671)-2), "","")"),610.0)</f>
        <v>610</v>
      </c>
      <c r="E671" s="7"/>
      <c r="F671" s="7"/>
      <c r="G671" s="2" t="str">
        <f t="array" ref="G671">IF(ISBLANK(D671), "", INDEX(Categories!$B:$B,MATCH(D671,Categories!$A:$A,0)))</f>
        <v>Supermarkets &amp; Super Stores</v>
      </c>
      <c r="H671" s="7" t="str">
        <f t="array" ref="H671">IF(ISBLANK(E671), "", INDEX(Categories!$B:$B,MATCH(E671,Categories!$A:$A,0)))</f>
        <v/>
      </c>
      <c r="I671" s="7" t="str">
        <f t="array" ref="I671">IF(ISBLANK(F671), "", INDEX(Categories!$B:$B,MATCH(F671,Categories!$A:$A,0)))</f>
        <v/>
      </c>
      <c r="J671" s="4"/>
      <c r="K671" s="4"/>
      <c r="L671" s="4"/>
      <c r="M671" s="4"/>
      <c r="N671" s="4"/>
      <c r="O671" s="4"/>
      <c r="P671" s="4"/>
      <c r="Q671" s="4"/>
    </row>
    <row r="672">
      <c r="A672" s="5">
        <v>671.0</v>
      </c>
      <c r="B672" s="5" t="s">
        <v>920</v>
      </c>
      <c r="C672" s="5" t="s">
        <v>921</v>
      </c>
      <c r="D672" s="6">
        <f>IFERROR(__xludf.DUMMYFUNCTION("SPLIT(MID(C672,2,LEN(C672)-2), "","")"),1495.0)</f>
        <v>1495</v>
      </c>
      <c r="E672" s="7"/>
      <c r="F672" s="7"/>
      <c r="G672" s="2" t="str">
        <f t="array" ref="G672">IF(ISBLANK(D672), "", INDEX(Categories!$B:$B,MATCH(D672,Categories!$A:$A,0)))</f>
        <v>Payroll Services</v>
      </c>
      <c r="H672" s="7" t="str">
        <f t="array" ref="H672">IF(ISBLANK(E672), "", INDEX(Categories!$B:$B,MATCH(E672,Categories!$A:$A,0)))</f>
        <v/>
      </c>
      <c r="I672" s="7" t="str">
        <f t="array" ref="I672">IF(ISBLANK(F672), "", INDEX(Categories!$B:$B,MATCH(F672,Categories!$A:$A,0)))</f>
        <v/>
      </c>
      <c r="J672" s="4"/>
      <c r="K672" s="4"/>
      <c r="L672" s="4"/>
      <c r="M672" s="4"/>
      <c r="N672" s="4"/>
      <c r="O672" s="4"/>
      <c r="P672" s="4"/>
      <c r="Q672" s="4"/>
    </row>
    <row r="673">
      <c r="A673" s="5">
        <v>672.0</v>
      </c>
      <c r="B673" s="5" t="s">
        <v>922</v>
      </c>
      <c r="C673" s="5" t="s">
        <v>432</v>
      </c>
      <c r="D673" s="6">
        <f>IFERROR(__xludf.DUMMYFUNCTION("SPLIT(MID(C673,2,LEN(C673)-2), "","")"),1292.0)</f>
        <v>1292</v>
      </c>
      <c r="E673" s="7"/>
      <c r="F673" s="7"/>
      <c r="G673" s="2" t="str">
        <f t="array" ref="G673">IF(ISBLANK(D673), "", INDEX(Categories!$B:$B,MATCH(D673,Categories!$A:$A,0)))</f>
        <v>Gas Industrial Medical Etc Cylinder &amp; Bulk</v>
      </c>
      <c r="H673" s="7" t="str">
        <f t="array" ref="H673">IF(ISBLANK(E673), "", INDEX(Categories!$B:$B,MATCH(E673,Categories!$A:$A,0)))</f>
        <v/>
      </c>
      <c r="I673" s="7" t="str">
        <f t="array" ref="I673">IF(ISBLANK(F673), "", INDEX(Categories!$B:$B,MATCH(F673,Categories!$A:$A,0)))</f>
        <v/>
      </c>
      <c r="J673" s="4"/>
      <c r="K673" s="4"/>
      <c r="L673" s="4"/>
      <c r="M673" s="4"/>
      <c r="N673" s="4"/>
      <c r="O673" s="4"/>
      <c r="P673" s="4"/>
      <c r="Q673" s="4"/>
    </row>
    <row r="674">
      <c r="A674" s="5">
        <v>673.0</v>
      </c>
      <c r="B674" s="5" t="s">
        <v>923</v>
      </c>
      <c r="C674" s="5" t="s">
        <v>924</v>
      </c>
      <c r="D674" s="6">
        <f>IFERROR(__xludf.DUMMYFUNCTION("SPLIT(MID(C674,2,LEN(C674)-2), "","")"),1161.0)</f>
        <v>1161</v>
      </c>
      <c r="E674" s="7"/>
      <c r="F674" s="7"/>
      <c r="G674" s="2" t="str">
        <f t="array" ref="G674">IF(ISBLANK(D674), "", INDEX(Categories!$B:$B,MATCH(D674,Categories!$A:$A,0)))</f>
        <v>Oils Lubricating Distributors &amp; Manufacturers</v>
      </c>
      <c r="H674" s="7" t="str">
        <f t="array" ref="H674">IF(ISBLANK(E674), "", INDEX(Categories!$B:$B,MATCH(E674,Categories!$A:$A,0)))</f>
        <v/>
      </c>
      <c r="I674" s="7" t="str">
        <f t="array" ref="I674">IF(ISBLANK(F674), "", INDEX(Categories!$B:$B,MATCH(F674,Categories!$A:$A,0)))</f>
        <v/>
      </c>
      <c r="J674" s="4"/>
      <c r="K674" s="4"/>
      <c r="L674" s="4"/>
      <c r="M674" s="4"/>
      <c r="N674" s="4"/>
      <c r="O674" s="4"/>
      <c r="P674" s="4"/>
      <c r="Q674" s="4"/>
    </row>
    <row r="675">
      <c r="A675" s="5">
        <v>674.0</v>
      </c>
      <c r="B675" s="5" t="s">
        <v>925</v>
      </c>
      <c r="C675" s="5" t="s">
        <v>522</v>
      </c>
      <c r="D675" s="6">
        <f>IFERROR(__xludf.DUMMYFUNCTION("SPLIT(MID(C675,2,LEN(C675)-2), "","")"),683.0)</f>
        <v>683</v>
      </c>
      <c r="E675" s="7"/>
      <c r="F675" s="7"/>
      <c r="G675" s="2" t="str">
        <f t="array" ref="G675">IF(ISBLANK(D675), "", INDEX(Categories!$B:$B,MATCH(D675,Categories!$A:$A,0)))</f>
        <v>Bakeries</v>
      </c>
      <c r="H675" s="7" t="str">
        <f t="array" ref="H675">IF(ISBLANK(E675), "", INDEX(Categories!$B:$B,MATCH(E675,Categories!$A:$A,0)))</f>
        <v/>
      </c>
      <c r="I675" s="7" t="str">
        <f t="array" ref="I675">IF(ISBLANK(F675), "", INDEX(Categories!$B:$B,MATCH(F675,Categories!$A:$A,0)))</f>
        <v/>
      </c>
      <c r="J675" s="4"/>
      <c r="K675" s="4"/>
      <c r="L675" s="4"/>
      <c r="M675" s="4"/>
      <c r="N675" s="4"/>
      <c r="O675" s="4"/>
      <c r="P675" s="4"/>
      <c r="Q675" s="4"/>
    </row>
    <row r="676">
      <c r="A676" s="5">
        <v>675.0</v>
      </c>
      <c r="B676" s="5" t="s">
        <v>926</v>
      </c>
      <c r="C676" s="5" t="s">
        <v>371</v>
      </c>
      <c r="D676" s="6">
        <f>IFERROR(__xludf.DUMMYFUNCTION("SPLIT(MID(C676,2,LEN(C676)-2), "","")"),37.0)</f>
        <v>37</v>
      </c>
      <c r="E676" s="7"/>
      <c r="F676" s="7"/>
      <c r="G676" s="2" t="str">
        <f t="array" ref="G676">IF(ISBLANK(D676), "", INDEX(Categories!$B:$B,MATCH(D676,Categories!$A:$A,0)))</f>
        <v>Home Furnishings</v>
      </c>
      <c r="H676" s="7" t="str">
        <f t="array" ref="H676">IF(ISBLANK(E676), "", INDEX(Categories!$B:$B,MATCH(E676,Categories!$A:$A,0)))</f>
        <v/>
      </c>
      <c r="I676" s="7" t="str">
        <f t="array" ref="I676">IF(ISBLANK(F676), "", INDEX(Categories!$B:$B,MATCH(F676,Categories!$A:$A,0)))</f>
        <v/>
      </c>
      <c r="J676" s="4"/>
      <c r="K676" s="4"/>
      <c r="L676" s="4"/>
      <c r="M676" s="4"/>
      <c r="N676" s="4"/>
      <c r="O676" s="4"/>
      <c r="P676" s="4"/>
      <c r="Q676" s="4"/>
    </row>
    <row r="677">
      <c r="A677" s="5">
        <v>676.0</v>
      </c>
      <c r="B677" s="5" t="s">
        <v>927</v>
      </c>
      <c r="C677" s="5" t="s">
        <v>928</v>
      </c>
      <c r="D677" s="6">
        <f>IFERROR(__xludf.DUMMYFUNCTION("SPLIT(MID(C677,2,LEN(C677)-2), "","")"),2483.0)</f>
        <v>2483</v>
      </c>
      <c r="E677" s="7"/>
      <c r="F677" s="7"/>
      <c r="G677" s="2" t="str">
        <f t="array" ref="G677">IF(ISBLANK(D677), "", INDEX(Categories!$B:$B,MATCH(D677,Categories!$A:$A,0)))</f>
        <v>Business &amp; Trade Organizations</v>
      </c>
      <c r="H677" s="7" t="str">
        <f t="array" ref="H677">IF(ISBLANK(E677), "", INDEX(Categories!$B:$B,MATCH(E677,Categories!$A:$A,0)))</f>
        <v/>
      </c>
      <c r="I677" s="7" t="str">
        <f t="array" ref="I677">IF(ISBLANK(F677), "", INDEX(Categories!$B:$B,MATCH(F677,Categories!$A:$A,0)))</f>
        <v/>
      </c>
      <c r="J677" s="4"/>
      <c r="K677" s="4"/>
      <c r="L677" s="4"/>
      <c r="M677" s="4"/>
      <c r="N677" s="4"/>
      <c r="O677" s="4"/>
      <c r="P677" s="4"/>
      <c r="Q677" s="4"/>
    </row>
    <row r="678">
      <c r="A678" s="5">
        <v>677.0</v>
      </c>
      <c r="B678" s="5" t="s">
        <v>929</v>
      </c>
      <c r="C678" s="5" t="s">
        <v>453</v>
      </c>
      <c r="D678" s="6">
        <f>IFERROR(__xludf.DUMMYFUNCTION("SPLIT(MID(C678,2,LEN(C678)-2), "","")"),1449.0)</f>
        <v>1449</v>
      </c>
      <c r="E678" s="7"/>
      <c r="F678" s="7"/>
      <c r="G678" s="2" t="str">
        <f t="array" ref="G678">IF(ISBLANK(D678), "", INDEX(Categories!$B:$B,MATCH(D678,Categories!$A:$A,0)))</f>
        <v>Uniform Supply Service</v>
      </c>
      <c r="H678" s="7" t="str">
        <f t="array" ref="H678">IF(ISBLANK(E678), "", INDEX(Categories!$B:$B,MATCH(E678,Categories!$A:$A,0)))</f>
        <v/>
      </c>
      <c r="I678" s="7" t="str">
        <f t="array" ref="I678">IF(ISBLANK(F678), "", INDEX(Categories!$B:$B,MATCH(F678,Categories!$A:$A,0)))</f>
        <v/>
      </c>
      <c r="J678" s="4"/>
      <c r="K678" s="4"/>
      <c r="L678" s="4"/>
      <c r="M678" s="4"/>
      <c r="N678" s="4"/>
      <c r="O678" s="4"/>
      <c r="P678" s="4"/>
      <c r="Q678" s="4"/>
    </row>
    <row r="679">
      <c r="A679" s="5">
        <v>678.0</v>
      </c>
      <c r="B679" s="5" t="s">
        <v>930</v>
      </c>
      <c r="C679" s="5" t="s">
        <v>644</v>
      </c>
      <c r="D679" s="6">
        <f>IFERROR(__xludf.DUMMYFUNCTION("SPLIT(MID(C679,2,LEN(C679)-2), "","")"),975.0)</f>
        <v>975</v>
      </c>
      <c r="E679" s="7"/>
      <c r="F679" s="7"/>
      <c r="G679" s="2" t="str">
        <f t="array" ref="G679">IF(ISBLANK(D679), "", INDEX(Categories!$B:$B,MATCH(D679,Categories!$A:$A,0)))</f>
        <v>Communication Services</v>
      </c>
      <c r="H679" s="7" t="str">
        <f t="array" ref="H679">IF(ISBLANK(E679), "", INDEX(Categories!$B:$B,MATCH(E679,Categories!$A:$A,0)))</f>
        <v/>
      </c>
      <c r="I679" s="7" t="str">
        <f t="array" ref="I679">IF(ISBLANK(F679), "", INDEX(Categories!$B:$B,MATCH(F679,Categories!$A:$A,0)))</f>
        <v/>
      </c>
      <c r="J679" s="4"/>
      <c r="K679" s="4"/>
      <c r="L679" s="4"/>
      <c r="M679" s="4"/>
      <c r="N679" s="4"/>
      <c r="O679" s="4"/>
      <c r="P679" s="4"/>
      <c r="Q679" s="4"/>
    </row>
    <row r="680">
      <c r="A680" s="5">
        <v>679.0</v>
      </c>
      <c r="B680" s="5" t="s">
        <v>931</v>
      </c>
      <c r="C680" s="5" t="s">
        <v>497</v>
      </c>
      <c r="D680" s="6">
        <f>IFERROR(__xludf.DUMMYFUNCTION("SPLIT(MID(C680,2,LEN(C680)-2), "","")"),2348.0)</f>
        <v>2348</v>
      </c>
      <c r="E680" s="7"/>
      <c r="F680" s="7"/>
      <c r="G680" s="2" t="str">
        <f t="array" ref="G680">IF(ISBLANK(D680), "", INDEX(Categories!$B:$B,MATCH(D680,Categories!$A:$A,0)))</f>
        <v>Real Estate - Development</v>
      </c>
      <c r="H680" s="7" t="str">
        <f t="array" ref="H680">IF(ISBLANK(E680), "", INDEX(Categories!$B:$B,MATCH(E680,Categories!$A:$A,0)))</f>
        <v/>
      </c>
      <c r="I680" s="7" t="str">
        <f t="array" ref="I680">IF(ISBLANK(F680), "", INDEX(Categories!$B:$B,MATCH(F680,Categories!$A:$A,0)))</f>
        <v/>
      </c>
      <c r="J680" s="4"/>
      <c r="K680" s="4"/>
      <c r="L680" s="4"/>
      <c r="M680" s="4"/>
      <c r="N680" s="4"/>
      <c r="O680" s="4"/>
      <c r="P680" s="4"/>
      <c r="Q680" s="4"/>
    </row>
    <row r="681">
      <c r="A681" s="5">
        <v>680.0</v>
      </c>
      <c r="B681" s="5" t="s">
        <v>932</v>
      </c>
      <c r="C681" s="5" t="s">
        <v>933</v>
      </c>
      <c r="D681" s="6">
        <f>IFERROR(__xludf.DUMMYFUNCTION("SPLIT(MID(C681,2,LEN(C681)-2), "","")"),1432.0)</f>
        <v>1432</v>
      </c>
      <c r="E681" s="7"/>
      <c r="F681" s="7"/>
      <c r="G681" s="2" t="str">
        <f t="array" ref="G681">IF(ISBLANK(D681), "", INDEX(Categories!$B:$B,MATCH(D681,Categories!$A:$A,0)))</f>
        <v>Gas Natural</v>
      </c>
      <c r="H681" s="7" t="str">
        <f t="array" ref="H681">IF(ISBLANK(E681), "", INDEX(Categories!$B:$B,MATCH(E681,Categories!$A:$A,0)))</f>
        <v/>
      </c>
      <c r="I681" s="7" t="str">
        <f t="array" ref="I681">IF(ISBLANK(F681), "", INDEX(Categories!$B:$B,MATCH(F681,Categories!$A:$A,0)))</f>
        <v/>
      </c>
      <c r="J681" s="4"/>
      <c r="K681" s="4"/>
      <c r="L681" s="4"/>
      <c r="M681" s="4"/>
      <c r="N681" s="4"/>
      <c r="O681" s="4"/>
      <c r="P681" s="4"/>
      <c r="Q681" s="4"/>
    </row>
    <row r="682">
      <c r="A682" s="5">
        <v>681.0</v>
      </c>
      <c r="B682" s="5" t="s">
        <v>934</v>
      </c>
      <c r="C682" s="5" t="s">
        <v>87</v>
      </c>
      <c r="D682" s="6">
        <f>IFERROR(__xludf.DUMMYFUNCTION("SPLIT(MID(C682,2,LEN(C682)-2), "","")"),168.0)</f>
        <v>168</v>
      </c>
      <c r="E682" s="7"/>
      <c r="F682" s="7"/>
      <c r="G682" s="2" t="str">
        <f t="array" ref="G682">IF(ISBLANK(D682), "", INDEX(Categories!$B:$B,MATCH(D682,Categories!$A:$A,0)))</f>
        <v>Hotels &amp; Motels</v>
      </c>
      <c r="H682" s="7" t="str">
        <f t="array" ref="H682">IF(ISBLANK(E682), "", INDEX(Categories!$B:$B,MATCH(E682,Categories!$A:$A,0)))</f>
        <v/>
      </c>
      <c r="I682" s="7" t="str">
        <f t="array" ref="I682">IF(ISBLANK(F682), "", INDEX(Categories!$B:$B,MATCH(F682,Categories!$A:$A,0)))</f>
        <v/>
      </c>
      <c r="J682" s="4"/>
      <c r="K682" s="4"/>
      <c r="L682" s="4"/>
      <c r="M682" s="4"/>
      <c r="N682" s="4"/>
      <c r="O682" s="4"/>
      <c r="P682" s="4"/>
      <c r="Q682" s="4"/>
    </row>
    <row r="683">
      <c r="A683" s="5">
        <v>682.0</v>
      </c>
      <c r="B683" s="5" t="s">
        <v>935</v>
      </c>
      <c r="C683" s="5" t="s">
        <v>115</v>
      </c>
      <c r="D683" s="6">
        <f>IFERROR(__xludf.DUMMYFUNCTION("SPLIT(MID(C683,2,LEN(C683)-2), "","")"),1272.0)</f>
        <v>1272</v>
      </c>
      <c r="E683" s="7"/>
      <c r="F683" s="7"/>
      <c r="G683" s="2" t="str">
        <f t="array" ref="G683">IF(ISBLANK(D683), "", INDEX(Categories!$B:$B,MATCH(D683,Categories!$A:$A,0)))</f>
        <v>Womens Apparel</v>
      </c>
      <c r="H683" s="7" t="str">
        <f t="array" ref="H683">IF(ISBLANK(E683), "", INDEX(Categories!$B:$B,MATCH(E683,Categories!$A:$A,0)))</f>
        <v/>
      </c>
      <c r="I683" s="7" t="str">
        <f t="array" ref="I683">IF(ISBLANK(F683), "", INDEX(Categories!$B:$B,MATCH(F683,Categories!$A:$A,0)))</f>
        <v/>
      </c>
      <c r="J683" s="4"/>
      <c r="K683" s="4"/>
      <c r="L683" s="4"/>
      <c r="M683" s="4"/>
      <c r="N683" s="4"/>
      <c r="O683" s="4"/>
      <c r="P683" s="4"/>
      <c r="Q683" s="4"/>
    </row>
    <row r="684">
      <c r="A684" s="5">
        <v>683.0</v>
      </c>
      <c r="B684" s="5" t="s">
        <v>936</v>
      </c>
      <c r="C684" s="5" t="s">
        <v>937</v>
      </c>
      <c r="D684" s="6">
        <f>IFERROR(__xludf.DUMMYFUNCTION("SPLIT(MID(C684,2,LEN(C684)-2), "","")"),254.0)</f>
        <v>254</v>
      </c>
      <c r="E684" s="7"/>
      <c r="F684" s="7"/>
      <c r="G684" s="2" t="str">
        <f t="array" ref="G684">IF(ISBLANK(D684), "", INDEX(Categories!$B:$B,MATCH(D684,Categories!$A:$A,0)))</f>
        <v>Dictating Machines &amp; Supplies</v>
      </c>
      <c r="H684" s="7" t="str">
        <f t="array" ref="H684">IF(ISBLANK(E684), "", INDEX(Categories!$B:$B,MATCH(E684,Categories!$A:$A,0)))</f>
        <v/>
      </c>
      <c r="I684" s="7" t="str">
        <f t="array" ref="I684">IF(ISBLANK(F684), "", INDEX(Categories!$B:$B,MATCH(F684,Categories!$A:$A,0)))</f>
        <v/>
      </c>
      <c r="J684" s="4"/>
      <c r="K684" s="4"/>
      <c r="L684" s="4"/>
      <c r="M684" s="4"/>
      <c r="N684" s="4"/>
      <c r="O684" s="4"/>
      <c r="P684" s="4"/>
      <c r="Q684" s="4"/>
    </row>
    <row r="685">
      <c r="A685" s="5">
        <v>684.0</v>
      </c>
      <c r="B685" s="5" t="s">
        <v>938</v>
      </c>
      <c r="C685" s="5" t="s">
        <v>423</v>
      </c>
      <c r="D685" s="6">
        <f>IFERROR(__xludf.DUMMYFUNCTION("SPLIT(MID(C685,2,LEN(C685)-2), "","")"),1079.0)</f>
        <v>1079</v>
      </c>
      <c r="E685" s="7"/>
      <c r="F685" s="7"/>
      <c r="G685" s="2" t="str">
        <f t="array" ref="G685">IF(ISBLANK(D685), "", INDEX(Categories!$B:$B,MATCH(D685,Categories!$A:$A,0)))</f>
        <v>Rental Service Stores &amp; Yards</v>
      </c>
      <c r="H685" s="7" t="str">
        <f t="array" ref="H685">IF(ISBLANK(E685), "", INDEX(Categories!$B:$B,MATCH(E685,Categories!$A:$A,0)))</f>
        <v/>
      </c>
      <c r="I685" s="7" t="str">
        <f t="array" ref="I685">IF(ISBLANK(F685), "", INDEX(Categories!$B:$B,MATCH(F685,Categories!$A:$A,0)))</f>
        <v/>
      </c>
      <c r="J685" s="4"/>
      <c r="K685" s="4"/>
      <c r="L685" s="4"/>
      <c r="M685" s="4"/>
      <c r="N685" s="4"/>
      <c r="O685" s="4"/>
      <c r="P685" s="4"/>
      <c r="Q685" s="4"/>
    </row>
    <row r="686">
      <c r="A686" s="5">
        <v>685.0</v>
      </c>
      <c r="B686" s="5" t="s">
        <v>939</v>
      </c>
      <c r="C686" s="5" t="s">
        <v>423</v>
      </c>
      <c r="D686" s="6">
        <f>IFERROR(__xludf.DUMMYFUNCTION("SPLIT(MID(C686,2,LEN(C686)-2), "","")"),1079.0)</f>
        <v>1079</v>
      </c>
      <c r="E686" s="7"/>
      <c r="F686" s="7"/>
      <c r="G686" s="2" t="str">
        <f t="array" ref="G686">IF(ISBLANK(D686), "", INDEX(Categories!$B:$B,MATCH(D686,Categories!$A:$A,0)))</f>
        <v>Rental Service Stores &amp; Yards</v>
      </c>
      <c r="H686" s="7" t="str">
        <f t="array" ref="H686">IF(ISBLANK(E686), "", INDEX(Categories!$B:$B,MATCH(E686,Categories!$A:$A,0)))</f>
        <v/>
      </c>
      <c r="I686" s="7" t="str">
        <f t="array" ref="I686">IF(ISBLANK(F686), "", INDEX(Categories!$B:$B,MATCH(F686,Categories!$A:$A,0)))</f>
        <v/>
      </c>
      <c r="J686" s="4"/>
      <c r="K686" s="4"/>
      <c r="L686" s="4"/>
      <c r="M686" s="4"/>
      <c r="N686" s="4"/>
      <c r="O686" s="4"/>
      <c r="P686" s="4"/>
      <c r="Q686" s="4"/>
    </row>
    <row r="687">
      <c r="A687" s="5">
        <v>686.0</v>
      </c>
      <c r="B687" s="5" t="s">
        <v>940</v>
      </c>
      <c r="C687" s="5" t="s">
        <v>246</v>
      </c>
      <c r="D687" s="6">
        <f>IFERROR(__xludf.DUMMYFUNCTION("SPLIT(MID(C687,2,LEN(C687)-2), "","")"),1587.0)</f>
        <v>1587</v>
      </c>
      <c r="E687" s="7"/>
      <c r="F687" s="7"/>
      <c r="G687" s="2" t="str">
        <f t="array" ref="G687">IF(ISBLANK(D687), "", INDEX(Categories!$B:$B,MATCH(D687,Categories!$A:$A,0)))</f>
        <v>Educational Services</v>
      </c>
      <c r="H687" s="7" t="str">
        <f t="array" ref="H687">IF(ISBLANK(E687), "", INDEX(Categories!$B:$B,MATCH(E687,Categories!$A:$A,0)))</f>
        <v/>
      </c>
      <c r="I687" s="7" t="str">
        <f t="array" ref="I687">IF(ISBLANK(F687), "", INDEX(Categories!$B:$B,MATCH(F687,Categories!$A:$A,0)))</f>
        <v/>
      </c>
      <c r="J687" s="4"/>
      <c r="K687" s="4"/>
      <c r="L687" s="4"/>
      <c r="M687" s="4"/>
      <c r="N687" s="4"/>
      <c r="O687" s="4"/>
      <c r="P687" s="4"/>
      <c r="Q687" s="4"/>
    </row>
    <row r="688">
      <c r="A688" s="5">
        <v>687.0</v>
      </c>
      <c r="B688" s="5" t="s">
        <v>941</v>
      </c>
      <c r="C688" s="5" t="s">
        <v>942</v>
      </c>
      <c r="D688" s="6">
        <f>IFERROR(__xludf.DUMMYFUNCTION("SPLIT(MID(C688,2,LEN(C688)-2), "","")"),973.0)</f>
        <v>973</v>
      </c>
      <c r="E688" s="7"/>
      <c r="F688" s="7"/>
      <c r="G688" s="2" t="str">
        <f t="array" ref="G688">IF(ISBLANK(D688), "", INDEX(Categories!$B:$B,MATCH(D688,Categories!$A:$A,0)))</f>
        <v>Cable Television Services</v>
      </c>
      <c r="H688" s="7" t="str">
        <f t="array" ref="H688">IF(ISBLANK(E688), "", INDEX(Categories!$B:$B,MATCH(E688,Categories!$A:$A,0)))</f>
        <v/>
      </c>
      <c r="I688" s="7" t="str">
        <f t="array" ref="I688">IF(ISBLANK(F688), "", INDEX(Categories!$B:$B,MATCH(F688,Categories!$A:$A,0)))</f>
        <v/>
      </c>
      <c r="J688" s="4"/>
      <c r="K688" s="4"/>
      <c r="L688" s="4"/>
      <c r="M688" s="4"/>
      <c r="N688" s="4"/>
      <c r="O688" s="4"/>
      <c r="P688" s="4"/>
      <c r="Q688" s="4"/>
    </row>
    <row r="689">
      <c r="A689" s="5">
        <v>688.0</v>
      </c>
      <c r="B689" s="5" t="s">
        <v>943</v>
      </c>
      <c r="C689" s="5" t="s">
        <v>34</v>
      </c>
      <c r="D689" s="6">
        <f>IFERROR(__xludf.DUMMYFUNCTION("SPLIT(MID(C689,2,LEN(C689)-2), "","")"),228.0)</f>
        <v>228</v>
      </c>
      <c r="E689" s="7"/>
      <c r="F689" s="7"/>
      <c r="G689" s="2" t="str">
        <f t="array" ref="G689">IF(ISBLANK(D689), "", INDEX(Categories!$B:$B,MATCH(D689,Categories!$A:$A,0)))</f>
        <v>Restaurants</v>
      </c>
      <c r="H689" s="7" t="str">
        <f t="array" ref="H689">IF(ISBLANK(E689), "", INDEX(Categories!$B:$B,MATCH(E689,Categories!$A:$A,0)))</f>
        <v/>
      </c>
      <c r="I689" s="7" t="str">
        <f t="array" ref="I689">IF(ISBLANK(F689), "", INDEX(Categories!$B:$B,MATCH(F689,Categories!$A:$A,0)))</f>
        <v/>
      </c>
      <c r="J689" s="4"/>
      <c r="K689" s="4"/>
      <c r="L689" s="4"/>
      <c r="M689" s="4"/>
      <c r="N689" s="4"/>
      <c r="O689" s="4"/>
      <c r="P689" s="4"/>
      <c r="Q689" s="4"/>
    </row>
    <row r="690">
      <c r="A690" s="5">
        <v>689.0</v>
      </c>
      <c r="B690" s="5" t="s">
        <v>944</v>
      </c>
      <c r="C690" s="5" t="s">
        <v>60</v>
      </c>
      <c r="D690" s="6">
        <f>IFERROR(__xludf.DUMMYFUNCTION("SPLIT(MID(C690,2,LEN(C690)-2), "","")"),240.0)</f>
        <v>240</v>
      </c>
      <c r="E690" s="7"/>
      <c r="F690" s="7"/>
      <c r="G690" s="2" t="str">
        <f t="array" ref="G690">IF(ISBLANK(D690), "", INDEX(Categories!$B:$B,MATCH(D690,Categories!$A:$A,0)))</f>
        <v>Restaurants Fast Food</v>
      </c>
      <c r="H690" s="7" t="str">
        <f t="array" ref="H690">IF(ISBLANK(E690), "", INDEX(Categories!$B:$B,MATCH(E690,Categories!$A:$A,0)))</f>
        <v/>
      </c>
      <c r="I690" s="7" t="str">
        <f t="array" ref="I690">IF(ISBLANK(F690), "", INDEX(Categories!$B:$B,MATCH(F690,Categories!$A:$A,0)))</f>
        <v/>
      </c>
      <c r="J690" s="4"/>
      <c r="K690" s="4"/>
      <c r="L690" s="4"/>
      <c r="M690" s="4"/>
      <c r="N690" s="4"/>
      <c r="O690" s="4"/>
      <c r="P690" s="4"/>
      <c r="Q690" s="4"/>
    </row>
    <row r="691">
      <c r="A691" s="5">
        <v>690.0</v>
      </c>
      <c r="B691" s="5" t="s">
        <v>945</v>
      </c>
      <c r="C691" s="5" t="s">
        <v>34</v>
      </c>
      <c r="D691" s="6">
        <f>IFERROR(__xludf.DUMMYFUNCTION("SPLIT(MID(C691,2,LEN(C691)-2), "","")"),228.0)</f>
        <v>228</v>
      </c>
      <c r="E691" s="7"/>
      <c r="F691" s="7"/>
      <c r="G691" s="2" t="str">
        <f t="array" ref="G691">IF(ISBLANK(D691), "", INDEX(Categories!$B:$B,MATCH(D691,Categories!$A:$A,0)))</f>
        <v>Restaurants</v>
      </c>
      <c r="H691" s="7" t="str">
        <f t="array" ref="H691">IF(ISBLANK(E691), "", INDEX(Categories!$B:$B,MATCH(E691,Categories!$A:$A,0)))</f>
        <v/>
      </c>
      <c r="I691" s="7" t="str">
        <f t="array" ref="I691">IF(ISBLANK(F691), "", INDEX(Categories!$B:$B,MATCH(F691,Categories!$A:$A,0)))</f>
        <v/>
      </c>
      <c r="J691" s="4"/>
      <c r="K691" s="4"/>
      <c r="L691" s="4"/>
      <c r="M691" s="4"/>
      <c r="N691" s="4"/>
      <c r="O691" s="4"/>
      <c r="P691" s="4"/>
      <c r="Q691" s="4"/>
    </row>
    <row r="692">
      <c r="A692" s="5">
        <v>691.0</v>
      </c>
      <c r="B692" s="5" t="s">
        <v>946</v>
      </c>
      <c r="C692" s="5" t="s">
        <v>249</v>
      </c>
      <c r="D692" s="6">
        <f>IFERROR(__xludf.DUMMYFUNCTION("SPLIT(MID(C692,2,LEN(C692)-2), "","")"),593.0)</f>
        <v>593</v>
      </c>
      <c r="E692" s="7"/>
      <c r="F692" s="7"/>
      <c r="G692" s="2" t="str">
        <f t="array" ref="G692">IF(ISBLANK(D692), "", INDEX(Categories!$B:$B,MATCH(D692,Categories!$A:$A,0)))</f>
        <v>Ice Cream &amp; Frozen Desserts Dealers</v>
      </c>
      <c r="H692" s="7" t="str">
        <f t="array" ref="H692">IF(ISBLANK(E692), "", INDEX(Categories!$B:$B,MATCH(E692,Categories!$A:$A,0)))</f>
        <v/>
      </c>
      <c r="I692" s="7" t="str">
        <f t="array" ref="I692">IF(ISBLANK(F692), "", INDEX(Categories!$B:$B,MATCH(F692,Categories!$A:$A,0)))</f>
        <v/>
      </c>
      <c r="J692" s="4"/>
      <c r="K692" s="4"/>
      <c r="L692" s="4"/>
      <c r="M692" s="4"/>
      <c r="N692" s="4"/>
      <c r="O692" s="4"/>
      <c r="P692" s="4"/>
      <c r="Q692" s="4"/>
    </row>
    <row r="693">
      <c r="A693" s="5">
        <v>692.0</v>
      </c>
      <c r="B693" s="5" t="s">
        <v>947</v>
      </c>
      <c r="C693" s="5" t="s">
        <v>948</v>
      </c>
      <c r="D693" s="6">
        <f>IFERROR(__xludf.DUMMYFUNCTION("SPLIT(MID(C693,2,LEN(C693)-2), "","")"),1426.0)</f>
        <v>1426</v>
      </c>
      <c r="E693" s="7"/>
      <c r="F693" s="7"/>
      <c r="G693" s="2" t="str">
        <f t="array" ref="G693">IF(ISBLANK(D693), "", INDEX(Categories!$B:$B,MATCH(D693,Categories!$A:$A,0)))</f>
        <v>Vacuum Cleaners</v>
      </c>
      <c r="H693" s="7" t="str">
        <f t="array" ref="H693">IF(ISBLANK(E693), "", INDEX(Categories!$B:$B,MATCH(E693,Categories!$A:$A,0)))</f>
        <v/>
      </c>
      <c r="I693" s="7" t="str">
        <f t="array" ref="I693">IF(ISBLANK(F693), "", INDEX(Categories!$B:$B,MATCH(F693,Categories!$A:$A,0)))</f>
        <v/>
      </c>
      <c r="J693" s="4"/>
      <c r="K693" s="4"/>
      <c r="L693" s="4"/>
      <c r="M693" s="4"/>
      <c r="N693" s="4"/>
      <c r="O693" s="4"/>
      <c r="P693" s="4"/>
      <c r="Q693" s="4"/>
    </row>
    <row r="694">
      <c r="A694" s="5">
        <v>693.0</v>
      </c>
      <c r="B694" s="5" t="s">
        <v>949</v>
      </c>
      <c r="C694" s="5" t="s">
        <v>950</v>
      </c>
      <c r="D694" s="6">
        <f>IFERROR(__xludf.DUMMYFUNCTION("SPLIT(MID(C694,2,LEN(C694)-2), "","")"),2093.0)</f>
        <v>2093</v>
      </c>
      <c r="E694" s="7"/>
      <c r="F694" s="7"/>
      <c r="G694" s="2" t="str">
        <f t="array" ref="G694">IF(ISBLANK(D694), "", INDEX(Categories!$B:$B,MATCH(D694,Categories!$A:$A,0)))</f>
        <v>Mattresses &amp; Bedding Retail</v>
      </c>
      <c r="H694" s="7" t="str">
        <f t="array" ref="H694">IF(ISBLANK(E694), "", INDEX(Categories!$B:$B,MATCH(E694,Categories!$A:$A,0)))</f>
        <v/>
      </c>
      <c r="I694" s="7" t="str">
        <f t="array" ref="I694">IF(ISBLANK(F694), "", INDEX(Categories!$B:$B,MATCH(F694,Categories!$A:$A,0)))</f>
        <v/>
      </c>
      <c r="J694" s="4"/>
      <c r="K694" s="4"/>
      <c r="L694" s="4"/>
      <c r="M694" s="4"/>
      <c r="N694" s="4"/>
      <c r="O694" s="4"/>
      <c r="P694" s="4"/>
      <c r="Q694" s="4"/>
    </row>
    <row r="695">
      <c r="A695" s="5">
        <v>694.0</v>
      </c>
      <c r="B695" s="5" t="s">
        <v>951</v>
      </c>
      <c r="C695" s="5" t="s">
        <v>952</v>
      </c>
      <c r="D695" s="6">
        <f>IFERROR(__xludf.DUMMYFUNCTION("SPLIT(MID(C695,2,LEN(C695)-2), "","")"),798.0)</f>
        <v>798</v>
      </c>
      <c r="E695" s="7"/>
      <c r="F695" s="7"/>
      <c r="G695" s="2" t="str">
        <f t="array" ref="G695">IF(ISBLANK(D695), "", INDEX(Categories!$B:$B,MATCH(D695,Categories!$A:$A,0)))</f>
        <v>Distribution Services</v>
      </c>
      <c r="H695" s="7" t="str">
        <f t="array" ref="H695">IF(ISBLANK(E695), "", INDEX(Categories!$B:$B,MATCH(E695,Categories!$A:$A,0)))</f>
        <v/>
      </c>
      <c r="I695" s="7" t="str">
        <f t="array" ref="I695">IF(ISBLANK(F695), "", INDEX(Categories!$B:$B,MATCH(F695,Categories!$A:$A,0)))</f>
        <v/>
      </c>
      <c r="J695" s="4"/>
      <c r="K695" s="4"/>
      <c r="L695" s="4"/>
      <c r="M695" s="4"/>
      <c r="N695" s="4"/>
      <c r="O695" s="4"/>
      <c r="P695" s="4"/>
      <c r="Q695" s="4"/>
    </row>
    <row r="696">
      <c r="A696" s="5">
        <v>695.0</v>
      </c>
      <c r="B696" s="5" t="s">
        <v>953</v>
      </c>
      <c r="C696" s="5" t="s">
        <v>665</v>
      </c>
      <c r="D696" s="6">
        <f>IFERROR(__xludf.DUMMYFUNCTION("SPLIT(MID(C696,2,LEN(C696)-2), "","")"),582.0)</f>
        <v>582</v>
      </c>
      <c r="E696" s="7"/>
      <c r="F696" s="7"/>
      <c r="G696" s="2" t="str">
        <f t="array" ref="G696">IF(ISBLANK(D696), "", INDEX(Categories!$B:$B,MATCH(D696,Categories!$A:$A,0)))</f>
        <v>Cookies &amp; Crackers</v>
      </c>
      <c r="H696" s="7" t="str">
        <f t="array" ref="H696">IF(ISBLANK(E696), "", INDEX(Categories!$B:$B,MATCH(E696,Categories!$A:$A,0)))</f>
        <v/>
      </c>
      <c r="I696" s="7" t="str">
        <f t="array" ref="I696">IF(ISBLANK(F696), "", INDEX(Categories!$B:$B,MATCH(F696,Categories!$A:$A,0)))</f>
        <v/>
      </c>
      <c r="J696" s="4"/>
      <c r="K696" s="4"/>
      <c r="L696" s="4"/>
      <c r="M696" s="4"/>
      <c r="N696" s="4"/>
      <c r="O696" s="4"/>
      <c r="P696" s="4"/>
      <c r="Q696" s="4"/>
    </row>
    <row r="697">
      <c r="A697" s="5">
        <v>696.0</v>
      </c>
      <c r="B697" s="5" t="s">
        <v>954</v>
      </c>
      <c r="C697" s="5" t="s">
        <v>274</v>
      </c>
      <c r="D697" s="6">
        <f>IFERROR(__xludf.DUMMYFUNCTION("SPLIT(MID(C697,2,LEN(C697)-2), "","")"),619.0)</f>
        <v>619</v>
      </c>
      <c r="E697" s="7"/>
      <c r="F697" s="7"/>
      <c r="G697" s="2" t="str">
        <f t="array" ref="G697">IF(ISBLANK(D697), "", INDEX(Categories!$B:$B,MATCH(D697,Categories!$A:$A,0)))</f>
        <v>Jewelry</v>
      </c>
      <c r="H697" s="7" t="str">
        <f t="array" ref="H697">IF(ISBLANK(E697), "", INDEX(Categories!$B:$B,MATCH(E697,Categories!$A:$A,0)))</f>
        <v/>
      </c>
      <c r="I697" s="7" t="str">
        <f t="array" ref="I697">IF(ISBLANK(F697), "", INDEX(Categories!$B:$B,MATCH(F697,Categories!$A:$A,0)))</f>
        <v/>
      </c>
      <c r="J697" s="4"/>
      <c r="K697" s="4"/>
      <c r="L697" s="4"/>
      <c r="M697" s="4"/>
      <c r="N697" s="4"/>
      <c r="O697" s="4"/>
      <c r="P697" s="4"/>
      <c r="Q697" s="4"/>
    </row>
    <row r="698">
      <c r="A698" s="5">
        <v>697.0</v>
      </c>
      <c r="B698" s="5" t="s">
        <v>955</v>
      </c>
      <c r="C698" s="5" t="s">
        <v>385</v>
      </c>
      <c r="D698" s="6">
        <f>IFERROR(__xludf.DUMMYFUNCTION("SPLIT(MID(C698,2,LEN(C698)-2), "","")"),709.0)</f>
        <v>709</v>
      </c>
      <c r="E698" s="7"/>
      <c r="F698" s="7"/>
      <c r="G698" s="2" t="str">
        <f t="array" ref="G698">IF(ISBLANK(D698), "", INDEX(Categories!$B:$B,MATCH(D698,Categories!$A:$A,0)))</f>
        <v>Photographic Equipment</v>
      </c>
      <c r="H698" s="7" t="str">
        <f t="array" ref="H698">IF(ISBLANK(E698), "", INDEX(Categories!$B:$B,MATCH(E698,Categories!$A:$A,0)))</f>
        <v/>
      </c>
      <c r="I698" s="7" t="str">
        <f t="array" ref="I698">IF(ISBLANK(F698), "", INDEX(Categories!$B:$B,MATCH(F698,Categories!$A:$A,0)))</f>
        <v/>
      </c>
      <c r="J698" s="4"/>
      <c r="K698" s="4"/>
      <c r="L698" s="4"/>
      <c r="M698" s="4"/>
      <c r="N698" s="4"/>
      <c r="O698" s="4"/>
      <c r="P698" s="4"/>
      <c r="Q698" s="4"/>
    </row>
    <row r="699">
      <c r="A699" s="5">
        <v>698.0</v>
      </c>
      <c r="B699" s="5" t="s">
        <v>956</v>
      </c>
      <c r="C699" s="5" t="s">
        <v>957</v>
      </c>
      <c r="D699" s="6">
        <f>IFERROR(__xludf.DUMMYFUNCTION("SPLIT(MID(C699,2,LEN(C699)-2), "","")"),1256.0)</f>
        <v>1256</v>
      </c>
      <c r="E699" s="7"/>
      <c r="F699" s="7"/>
      <c r="G699" s="2" t="str">
        <f t="array" ref="G699">IF(ISBLANK(D699), "", INDEX(Categories!$B:$B,MATCH(D699,Categories!$A:$A,0)))</f>
        <v>Leather Goods Dealers</v>
      </c>
      <c r="H699" s="7" t="str">
        <f t="array" ref="H699">IF(ISBLANK(E699), "", INDEX(Categories!$B:$B,MATCH(E699,Categories!$A:$A,0)))</f>
        <v/>
      </c>
      <c r="I699" s="7" t="str">
        <f t="array" ref="I699">IF(ISBLANK(F699), "", INDEX(Categories!$B:$B,MATCH(F699,Categories!$A:$A,0)))</f>
        <v/>
      </c>
      <c r="J699" s="4"/>
      <c r="K699" s="4"/>
      <c r="L699" s="4"/>
      <c r="M699" s="4"/>
      <c r="N699" s="4"/>
      <c r="O699" s="4"/>
      <c r="P699" s="4"/>
      <c r="Q699" s="4"/>
    </row>
    <row r="700">
      <c r="A700" s="5">
        <v>699.0</v>
      </c>
      <c r="B700" s="5" t="s">
        <v>958</v>
      </c>
      <c r="C700" s="5" t="s">
        <v>491</v>
      </c>
      <c r="D700" s="6">
        <f>IFERROR(__xludf.DUMMYFUNCTION("SPLIT(MID(C700,2,LEN(C700)-2), "","")"),692.0)</f>
        <v>692</v>
      </c>
      <c r="E700" s="7"/>
      <c r="F700" s="7"/>
      <c r="G700" s="2" t="str">
        <f t="array" ref="G700">IF(ISBLANK(D700), "", INDEX(Categories!$B:$B,MATCH(D700,Categories!$A:$A,0)))</f>
        <v>Greeting Cards Retail</v>
      </c>
      <c r="H700" s="7" t="str">
        <f t="array" ref="H700">IF(ISBLANK(E700), "", INDEX(Categories!$B:$B,MATCH(E700,Categories!$A:$A,0)))</f>
        <v/>
      </c>
      <c r="I700" s="7" t="str">
        <f t="array" ref="I700">IF(ISBLANK(F700), "", INDEX(Categories!$B:$B,MATCH(F700,Categories!$A:$A,0)))</f>
        <v/>
      </c>
      <c r="J700" s="4"/>
      <c r="K700" s="4"/>
      <c r="L700" s="4"/>
      <c r="M700" s="4"/>
      <c r="N700" s="4"/>
      <c r="O700" s="4"/>
      <c r="P700" s="4"/>
      <c r="Q700" s="4"/>
    </row>
    <row r="701">
      <c r="A701" s="5">
        <v>700.0</v>
      </c>
      <c r="B701" s="5" t="s">
        <v>959</v>
      </c>
      <c r="C701" s="5" t="s">
        <v>30</v>
      </c>
      <c r="D701" s="6">
        <f>IFERROR(__xludf.DUMMYFUNCTION("SPLIT(MID(C701,2,LEN(C701)-2), "","")"),1141.0)</f>
        <v>1141</v>
      </c>
      <c r="E701" s="7"/>
      <c r="F701" s="7"/>
      <c r="G701" s="2" t="str">
        <f t="array" ref="G701">IF(ISBLANK(D701), "", INDEX(Categories!$B:$B,MATCH(D701,Categories!$A:$A,0)))</f>
        <v>Gas Liquefied Petroleum Bottled &amp; Bulk Retail</v>
      </c>
      <c r="H701" s="7" t="str">
        <f t="array" ref="H701">IF(ISBLANK(E701), "", INDEX(Categories!$B:$B,MATCH(E701,Categories!$A:$A,0)))</f>
        <v/>
      </c>
      <c r="I701" s="7" t="str">
        <f t="array" ref="I701">IF(ISBLANK(F701), "", INDEX(Categories!$B:$B,MATCH(F701,Categories!$A:$A,0)))</f>
        <v/>
      </c>
      <c r="J701" s="4"/>
      <c r="K701" s="4"/>
      <c r="L701" s="4"/>
      <c r="M701" s="4"/>
      <c r="N701" s="4"/>
      <c r="O701" s="4"/>
      <c r="P701" s="4"/>
      <c r="Q701" s="4"/>
    </row>
    <row r="702">
      <c r="A702" s="5">
        <v>701.0</v>
      </c>
      <c r="B702" s="5" t="s">
        <v>960</v>
      </c>
      <c r="C702" s="5" t="s">
        <v>102</v>
      </c>
      <c r="D702" s="6">
        <f>IFERROR(__xludf.DUMMYFUNCTION("SPLIT(MID(C702,2,LEN(C702)-2), "","")"),298.0)</f>
        <v>298</v>
      </c>
      <c r="E702" s="7"/>
      <c r="F702" s="7"/>
      <c r="G702" s="2" t="str">
        <f t="array" ref="G702">IF(ISBLANK(D702), "", INDEX(Categories!$B:$B,MATCH(D702,Categories!$A:$A,0)))</f>
        <v>Financial Services</v>
      </c>
      <c r="H702" s="7" t="str">
        <f t="array" ref="H702">IF(ISBLANK(E702), "", INDEX(Categories!$B:$B,MATCH(E702,Categories!$A:$A,0)))</f>
        <v/>
      </c>
      <c r="I702" s="7" t="str">
        <f t="array" ref="I702">IF(ISBLANK(F702), "", INDEX(Categories!$B:$B,MATCH(F702,Categories!$A:$A,0)))</f>
        <v/>
      </c>
      <c r="J702" s="4"/>
      <c r="K702" s="4"/>
      <c r="L702" s="4"/>
      <c r="M702" s="4"/>
      <c r="N702" s="4"/>
      <c r="O702" s="4"/>
      <c r="P702" s="4"/>
      <c r="Q702" s="4"/>
    </row>
    <row r="703">
      <c r="A703" s="5">
        <v>702.0</v>
      </c>
      <c r="B703" s="5" t="s">
        <v>961</v>
      </c>
      <c r="C703" s="5" t="s">
        <v>962</v>
      </c>
      <c r="D703" s="6">
        <f>IFERROR(__xludf.DUMMYFUNCTION("SPLIT(MID(C703,2,LEN(C703)-2), "","")"),1367.0)</f>
        <v>1367</v>
      </c>
      <c r="E703" s="7"/>
      <c r="F703" s="7"/>
      <c r="G703" s="2" t="str">
        <f t="array" ref="G703">IF(ISBLANK(D703), "", INDEX(Categories!$B:$B,MATCH(D703,Categories!$A:$A,0)))</f>
        <v>Water Filtration Distillation &amp; Purification Equipment</v>
      </c>
      <c r="H703" s="7" t="str">
        <f t="array" ref="H703">IF(ISBLANK(E703), "", INDEX(Categories!$B:$B,MATCH(E703,Categories!$A:$A,0)))</f>
        <v/>
      </c>
      <c r="I703" s="7" t="str">
        <f t="array" ref="I703">IF(ISBLANK(F703), "", INDEX(Categories!$B:$B,MATCH(F703,Categories!$A:$A,0)))</f>
        <v/>
      </c>
      <c r="J703" s="4"/>
      <c r="K703" s="4"/>
      <c r="L703" s="4"/>
      <c r="M703" s="4"/>
      <c r="N703" s="4"/>
      <c r="O703" s="4"/>
      <c r="P703" s="4"/>
      <c r="Q703" s="4"/>
    </row>
    <row r="704">
      <c r="A704" s="5">
        <v>703.0</v>
      </c>
      <c r="B704" s="5" t="s">
        <v>963</v>
      </c>
      <c r="C704" s="5" t="s">
        <v>96</v>
      </c>
      <c r="D704" s="6">
        <f>IFERROR(__xludf.DUMMYFUNCTION("SPLIT(MID(C704,2,LEN(C704)-2), "","")"),572.0)</f>
        <v>572</v>
      </c>
      <c r="E704" s="7"/>
      <c r="F704" s="7"/>
      <c r="G704" s="2" t="str">
        <f t="array" ref="G704">IF(ISBLANK(D704), "", INDEX(Categories!$B:$B,MATCH(D704,Categories!$A:$A,0)))</f>
        <v>Groceries</v>
      </c>
      <c r="H704" s="7" t="str">
        <f t="array" ref="H704">IF(ISBLANK(E704), "", INDEX(Categories!$B:$B,MATCH(E704,Categories!$A:$A,0)))</f>
        <v/>
      </c>
      <c r="I704" s="7" t="str">
        <f t="array" ref="I704">IF(ISBLANK(F704), "", INDEX(Categories!$B:$B,MATCH(F704,Categories!$A:$A,0)))</f>
        <v/>
      </c>
      <c r="J704" s="4"/>
      <c r="K704" s="4"/>
      <c r="L704" s="4"/>
      <c r="M704" s="4"/>
      <c r="N704" s="4"/>
      <c r="O704" s="4"/>
      <c r="P704" s="4"/>
      <c r="Q704" s="4"/>
    </row>
    <row r="705">
      <c r="A705" s="5">
        <v>704.0</v>
      </c>
      <c r="B705" s="5" t="s">
        <v>964</v>
      </c>
      <c r="C705" s="5" t="s">
        <v>965</v>
      </c>
      <c r="D705" s="6">
        <f>IFERROR(__xludf.DUMMYFUNCTION("SPLIT(MID(C705,2,LEN(C705)-2), "","")"),564.0)</f>
        <v>564</v>
      </c>
      <c r="E705" s="7"/>
      <c r="F705" s="7"/>
      <c r="G705" s="2" t="str">
        <f t="array" ref="G705">IF(ISBLANK(D705), "", INDEX(Categories!$B:$B,MATCH(D705,Categories!$A:$A,0)))</f>
        <v>Employment Training Service</v>
      </c>
      <c r="H705" s="7" t="str">
        <f t="array" ref="H705">IF(ISBLANK(E705), "", INDEX(Categories!$B:$B,MATCH(E705,Categories!$A:$A,0)))</f>
        <v/>
      </c>
      <c r="I705" s="7" t="str">
        <f t="array" ref="I705">IF(ISBLANK(F705), "", INDEX(Categories!$B:$B,MATCH(F705,Categories!$A:$A,0)))</f>
        <v/>
      </c>
      <c r="J705" s="4"/>
      <c r="K705" s="4"/>
      <c r="L705" s="4"/>
      <c r="M705" s="4"/>
      <c r="N705" s="4"/>
      <c r="O705" s="4"/>
      <c r="P705" s="4"/>
      <c r="Q705" s="4"/>
    </row>
    <row r="706">
      <c r="A706" s="5">
        <v>705.0</v>
      </c>
      <c r="B706" s="5" t="s">
        <v>966</v>
      </c>
      <c r="C706" s="5" t="s">
        <v>34</v>
      </c>
      <c r="D706" s="6">
        <f>IFERROR(__xludf.DUMMYFUNCTION("SPLIT(MID(C706,2,LEN(C706)-2), "","")"),228.0)</f>
        <v>228</v>
      </c>
      <c r="E706" s="7"/>
      <c r="F706" s="7"/>
      <c r="G706" s="2" t="str">
        <f t="array" ref="G706">IF(ISBLANK(D706), "", INDEX(Categories!$B:$B,MATCH(D706,Categories!$A:$A,0)))</f>
        <v>Restaurants</v>
      </c>
      <c r="H706" s="7" t="str">
        <f t="array" ref="H706">IF(ISBLANK(E706), "", INDEX(Categories!$B:$B,MATCH(E706,Categories!$A:$A,0)))</f>
        <v/>
      </c>
      <c r="I706" s="7" t="str">
        <f t="array" ref="I706">IF(ISBLANK(F706), "", INDEX(Categories!$B:$B,MATCH(F706,Categories!$A:$A,0)))</f>
        <v/>
      </c>
      <c r="J706" s="4"/>
      <c r="K706" s="4"/>
      <c r="L706" s="4"/>
      <c r="M706" s="4"/>
      <c r="N706" s="4"/>
      <c r="O706" s="4"/>
      <c r="P706" s="4"/>
      <c r="Q706" s="4"/>
    </row>
    <row r="707">
      <c r="A707" s="5">
        <v>706.0</v>
      </c>
      <c r="B707" s="5" t="s">
        <v>967</v>
      </c>
      <c r="C707" s="5" t="s">
        <v>34</v>
      </c>
      <c r="D707" s="6">
        <f>IFERROR(__xludf.DUMMYFUNCTION("SPLIT(MID(C707,2,LEN(C707)-2), "","")"),228.0)</f>
        <v>228</v>
      </c>
      <c r="E707" s="7"/>
      <c r="F707" s="7"/>
      <c r="G707" s="2" t="str">
        <f t="array" ref="G707">IF(ISBLANK(D707), "", INDEX(Categories!$B:$B,MATCH(D707,Categories!$A:$A,0)))</f>
        <v>Restaurants</v>
      </c>
      <c r="H707" s="7" t="str">
        <f t="array" ref="H707">IF(ISBLANK(E707), "", INDEX(Categories!$B:$B,MATCH(E707,Categories!$A:$A,0)))</f>
        <v/>
      </c>
      <c r="I707" s="7" t="str">
        <f t="array" ref="I707">IF(ISBLANK(F707), "", INDEX(Categories!$B:$B,MATCH(F707,Categories!$A:$A,0)))</f>
        <v/>
      </c>
      <c r="J707" s="4"/>
      <c r="K707" s="4"/>
      <c r="L707" s="4"/>
      <c r="M707" s="4"/>
      <c r="N707" s="4"/>
      <c r="O707" s="4"/>
      <c r="P707" s="4"/>
      <c r="Q707" s="4"/>
    </row>
    <row r="708">
      <c r="A708" s="5">
        <v>707.0</v>
      </c>
      <c r="B708" s="5" t="s">
        <v>968</v>
      </c>
      <c r="C708" s="5" t="s">
        <v>60</v>
      </c>
      <c r="D708" s="6">
        <f>IFERROR(__xludf.DUMMYFUNCTION("SPLIT(MID(C708,2,LEN(C708)-2), "","")"),240.0)</f>
        <v>240</v>
      </c>
      <c r="E708" s="7"/>
      <c r="F708" s="7"/>
      <c r="G708" s="2" t="str">
        <f t="array" ref="G708">IF(ISBLANK(D708), "", INDEX(Categories!$B:$B,MATCH(D708,Categories!$A:$A,0)))</f>
        <v>Restaurants Fast Food</v>
      </c>
      <c r="H708" s="7" t="str">
        <f t="array" ref="H708">IF(ISBLANK(E708), "", INDEX(Categories!$B:$B,MATCH(E708,Categories!$A:$A,0)))</f>
        <v/>
      </c>
      <c r="I708" s="7" t="str">
        <f t="array" ref="I708">IF(ISBLANK(F708), "", INDEX(Categories!$B:$B,MATCH(F708,Categories!$A:$A,0)))</f>
        <v/>
      </c>
      <c r="J708" s="4"/>
      <c r="K708" s="4"/>
      <c r="L708" s="4"/>
      <c r="M708" s="4"/>
      <c r="N708" s="4"/>
      <c r="O708" s="4"/>
      <c r="P708" s="4"/>
      <c r="Q708" s="4"/>
    </row>
    <row r="709">
      <c r="A709" s="5">
        <v>708.0</v>
      </c>
      <c r="B709" s="5" t="s">
        <v>969</v>
      </c>
      <c r="C709" s="5" t="s">
        <v>45</v>
      </c>
      <c r="D709" s="6">
        <f>IFERROR(__xludf.DUMMYFUNCTION("SPLIT(MID(C709,2,LEN(C709)-2), "","")"),234.0)</f>
        <v>234</v>
      </c>
      <c r="E709" s="7"/>
      <c r="F709" s="7"/>
      <c r="G709" s="2" t="str">
        <f t="array" ref="G709">IF(ISBLANK(D709), "", INDEX(Categories!$B:$B,MATCH(D709,Categories!$A:$A,0)))</f>
        <v>Ice Cream Parlors Consumer</v>
      </c>
      <c r="H709" s="7" t="str">
        <f t="array" ref="H709">IF(ISBLANK(E709), "", INDEX(Categories!$B:$B,MATCH(E709,Categories!$A:$A,0)))</f>
        <v/>
      </c>
      <c r="I709" s="7" t="str">
        <f t="array" ref="I709">IF(ISBLANK(F709), "", INDEX(Categories!$B:$B,MATCH(F709,Categories!$A:$A,0)))</f>
        <v/>
      </c>
      <c r="J709" s="4"/>
      <c r="K709" s="4"/>
      <c r="L709" s="4"/>
      <c r="M709" s="4"/>
      <c r="N709" s="4"/>
      <c r="O709" s="4"/>
      <c r="P709" s="4"/>
      <c r="Q709" s="4"/>
    </row>
    <row r="710">
      <c r="A710" s="5">
        <v>709.0</v>
      </c>
      <c r="B710" s="5" t="s">
        <v>970</v>
      </c>
      <c r="C710" s="5" t="s">
        <v>971</v>
      </c>
      <c r="D710" s="6">
        <f>IFERROR(__xludf.DUMMYFUNCTION("SPLIT(MID(C710,2,LEN(C710)-2), "","")"),1703.0)</f>
        <v>1703</v>
      </c>
      <c r="E710" s="7"/>
      <c r="F710" s="7"/>
      <c r="G710" s="2" t="str">
        <f t="array" ref="G710">IF(ISBLANK(D710), "", INDEX(Categories!$B:$B,MATCH(D710,Categories!$A:$A,0)))</f>
        <v>Food Service Management</v>
      </c>
      <c r="H710" s="7" t="str">
        <f t="array" ref="H710">IF(ISBLANK(E710), "", INDEX(Categories!$B:$B,MATCH(E710,Categories!$A:$A,0)))</f>
        <v/>
      </c>
      <c r="I710" s="7" t="str">
        <f t="array" ref="I710">IF(ISBLANK(F710), "", INDEX(Categories!$B:$B,MATCH(F710,Categories!$A:$A,0)))</f>
        <v/>
      </c>
      <c r="J710" s="4"/>
      <c r="K710" s="4"/>
      <c r="L710" s="4"/>
      <c r="M710" s="4"/>
      <c r="N710" s="4"/>
      <c r="O710" s="4"/>
      <c r="P710" s="4"/>
      <c r="Q710" s="4"/>
    </row>
    <row r="711">
      <c r="A711" s="5">
        <v>710.0</v>
      </c>
      <c r="B711" s="5" t="s">
        <v>972</v>
      </c>
      <c r="C711" s="5" t="s">
        <v>60</v>
      </c>
      <c r="D711" s="6">
        <f>IFERROR(__xludf.DUMMYFUNCTION("SPLIT(MID(C711,2,LEN(C711)-2), "","")"),240.0)</f>
        <v>240</v>
      </c>
      <c r="E711" s="7"/>
      <c r="F711" s="7"/>
      <c r="G711" s="2" t="str">
        <f t="array" ref="G711">IF(ISBLANK(D711), "", INDEX(Categories!$B:$B,MATCH(D711,Categories!$A:$A,0)))</f>
        <v>Restaurants Fast Food</v>
      </c>
      <c r="H711" s="7" t="str">
        <f t="array" ref="H711">IF(ISBLANK(E711), "", INDEX(Categories!$B:$B,MATCH(E711,Categories!$A:$A,0)))</f>
        <v/>
      </c>
      <c r="I711" s="7" t="str">
        <f t="array" ref="I711">IF(ISBLANK(F711), "", INDEX(Categories!$B:$B,MATCH(F711,Categories!$A:$A,0)))</f>
        <v/>
      </c>
      <c r="J711" s="4"/>
      <c r="K711" s="4"/>
      <c r="L711" s="4"/>
      <c r="M711" s="4"/>
      <c r="N711" s="4"/>
      <c r="O711" s="4"/>
      <c r="P711" s="4"/>
      <c r="Q711" s="4"/>
    </row>
    <row r="712">
      <c r="A712" s="5">
        <v>711.0</v>
      </c>
      <c r="B712" s="5" t="s">
        <v>973</v>
      </c>
      <c r="C712" s="5" t="s">
        <v>974</v>
      </c>
      <c r="D712" s="6">
        <f>IFERROR(__xludf.DUMMYFUNCTION("SPLIT(MID(C712,2,LEN(C712)-2), "","")"),2855.0)</f>
        <v>2855</v>
      </c>
      <c r="E712" s="7"/>
      <c r="F712" s="7"/>
      <c r="G712" s="2" t="str">
        <f t="array" ref="G712">IF(ISBLANK(D712), "", INDEX(Categories!$B:$B,MATCH(D712,Categories!$A:$A,0)))</f>
        <v>Ice Cream &amp; Frozen Desserts Manufacturers &amp; Distributors</v>
      </c>
      <c r="H712" s="7" t="str">
        <f t="array" ref="H712">IF(ISBLANK(E712), "", INDEX(Categories!$B:$B,MATCH(E712,Categories!$A:$A,0)))</f>
        <v/>
      </c>
      <c r="I712" s="7" t="str">
        <f t="array" ref="I712">IF(ISBLANK(F712), "", INDEX(Categories!$B:$B,MATCH(F712,Categories!$A:$A,0)))</f>
        <v/>
      </c>
      <c r="J712" s="4"/>
      <c r="K712" s="4"/>
      <c r="L712" s="4"/>
      <c r="M712" s="4"/>
      <c r="N712" s="4"/>
      <c r="O712" s="4"/>
      <c r="P712" s="4"/>
      <c r="Q712" s="4"/>
    </row>
    <row r="713">
      <c r="A713" s="5">
        <v>712.0</v>
      </c>
      <c r="B713" s="5" t="s">
        <v>975</v>
      </c>
      <c r="C713" s="5" t="s">
        <v>307</v>
      </c>
      <c r="D713" s="6">
        <f>IFERROR(__xludf.DUMMYFUNCTION("SPLIT(MID(C713,2,LEN(C713)-2), "","")"),241.0)</f>
        <v>241</v>
      </c>
      <c r="E713" s="7"/>
      <c r="F713" s="7"/>
      <c r="G713" s="2" t="str">
        <f t="array" ref="G713">IF(ISBLANK(D713), "", INDEX(Categories!$B:$B,MATCH(D713,Categories!$A:$A,0)))</f>
        <v>Restaurants Mexican</v>
      </c>
      <c r="H713" s="7" t="str">
        <f t="array" ref="H713">IF(ISBLANK(E713), "", INDEX(Categories!$B:$B,MATCH(E713,Categories!$A:$A,0)))</f>
        <v/>
      </c>
      <c r="I713" s="7" t="str">
        <f t="array" ref="I713">IF(ISBLANK(F713), "", INDEX(Categories!$B:$B,MATCH(F713,Categories!$A:$A,0)))</f>
        <v/>
      </c>
      <c r="J713" s="4"/>
      <c r="K713" s="4"/>
      <c r="L713" s="4"/>
      <c r="M713" s="4"/>
      <c r="N713" s="4"/>
      <c r="O713" s="4"/>
      <c r="P713" s="4"/>
      <c r="Q713" s="4"/>
    </row>
    <row r="714">
      <c r="A714" s="5">
        <v>713.0</v>
      </c>
      <c r="B714" s="5" t="s">
        <v>976</v>
      </c>
      <c r="C714" s="5" t="s">
        <v>34</v>
      </c>
      <c r="D714" s="6">
        <f>IFERROR(__xludf.DUMMYFUNCTION("SPLIT(MID(C714,2,LEN(C714)-2), "","")"),228.0)</f>
        <v>228</v>
      </c>
      <c r="E714" s="7"/>
      <c r="F714" s="7"/>
      <c r="G714" s="2" t="str">
        <f t="array" ref="G714">IF(ISBLANK(D714), "", INDEX(Categories!$B:$B,MATCH(D714,Categories!$A:$A,0)))</f>
        <v>Restaurants</v>
      </c>
      <c r="H714" s="7" t="str">
        <f t="array" ref="H714">IF(ISBLANK(E714), "", INDEX(Categories!$B:$B,MATCH(E714,Categories!$A:$A,0)))</f>
        <v/>
      </c>
      <c r="I714" s="7" t="str">
        <f t="array" ref="I714">IF(ISBLANK(F714), "", INDEX(Categories!$B:$B,MATCH(F714,Categories!$A:$A,0)))</f>
        <v/>
      </c>
      <c r="J714" s="4"/>
      <c r="K714" s="4"/>
      <c r="L714" s="4"/>
      <c r="M714" s="4"/>
      <c r="N714" s="4"/>
      <c r="O714" s="4"/>
      <c r="P714" s="4"/>
      <c r="Q714" s="4"/>
    </row>
    <row r="715">
      <c r="A715" s="5">
        <v>714.0</v>
      </c>
      <c r="B715" s="5" t="s">
        <v>977</v>
      </c>
      <c r="C715" s="5" t="s">
        <v>45</v>
      </c>
      <c r="D715" s="6">
        <f>IFERROR(__xludf.DUMMYFUNCTION("SPLIT(MID(C715,2,LEN(C715)-2), "","")"),234.0)</f>
        <v>234</v>
      </c>
      <c r="E715" s="7"/>
      <c r="F715" s="7"/>
      <c r="G715" s="2" t="str">
        <f t="array" ref="G715">IF(ISBLANK(D715), "", INDEX(Categories!$B:$B,MATCH(D715,Categories!$A:$A,0)))</f>
        <v>Ice Cream Parlors Consumer</v>
      </c>
      <c r="H715" s="7" t="str">
        <f t="array" ref="H715">IF(ISBLANK(E715), "", INDEX(Categories!$B:$B,MATCH(E715,Categories!$A:$A,0)))</f>
        <v/>
      </c>
      <c r="I715" s="7" t="str">
        <f t="array" ref="I715">IF(ISBLANK(F715), "", INDEX(Categories!$B:$B,MATCH(F715,Categories!$A:$A,0)))</f>
        <v/>
      </c>
      <c r="J715" s="4"/>
      <c r="K715" s="4"/>
      <c r="L715" s="4"/>
      <c r="M715" s="4"/>
      <c r="N715" s="4"/>
      <c r="O715" s="4"/>
      <c r="P715" s="4"/>
      <c r="Q715" s="4"/>
    </row>
    <row r="716">
      <c r="A716" s="5">
        <v>715.0</v>
      </c>
      <c r="B716" s="5" t="s">
        <v>978</v>
      </c>
      <c r="C716" s="5" t="s">
        <v>34</v>
      </c>
      <c r="D716" s="6">
        <f>IFERROR(__xludf.DUMMYFUNCTION("SPLIT(MID(C716,2,LEN(C716)-2), "","")"),228.0)</f>
        <v>228</v>
      </c>
      <c r="E716" s="7"/>
      <c r="F716" s="7"/>
      <c r="G716" s="2" t="str">
        <f t="array" ref="G716">IF(ISBLANK(D716), "", INDEX(Categories!$B:$B,MATCH(D716,Categories!$A:$A,0)))</f>
        <v>Restaurants</v>
      </c>
      <c r="H716" s="7" t="str">
        <f t="array" ref="H716">IF(ISBLANK(E716), "", INDEX(Categories!$B:$B,MATCH(E716,Categories!$A:$A,0)))</f>
        <v/>
      </c>
      <c r="I716" s="7" t="str">
        <f t="array" ref="I716">IF(ISBLANK(F716), "", INDEX(Categories!$B:$B,MATCH(F716,Categories!$A:$A,0)))</f>
        <v/>
      </c>
      <c r="J716" s="4"/>
      <c r="K716" s="4"/>
      <c r="L716" s="4"/>
      <c r="M716" s="4"/>
      <c r="N716" s="4"/>
      <c r="O716" s="4"/>
      <c r="P716" s="4"/>
      <c r="Q716" s="4"/>
    </row>
    <row r="717">
      <c r="A717" s="5">
        <v>716.0</v>
      </c>
      <c r="B717" s="5" t="s">
        <v>979</v>
      </c>
      <c r="C717" s="5" t="s">
        <v>34</v>
      </c>
      <c r="D717" s="6">
        <f>IFERROR(__xludf.DUMMYFUNCTION("SPLIT(MID(C717,2,LEN(C717)-2), "","")"),228.0)</f>
        <v>228</v>
      </c>
      <c r="E717" s="7"/>
      <c r="F717" s="7"/>
      <c r="G717" s="2" t="str">
        <f t="array" ref="G717">IF(ISBLANK(D717), "", INDEX(Categories!$B:$B,MATCH(D717,Categories!$A:$A,0)))</f>
        <v>Restaurants</v>
      </c>
      <c r="H717" s="7" t="str">
        <f t="array" ref="H717">IF(ISBLANK(E717), "", INDEX(Categories!$B:$B,MATCH(E717,Categories!$A:$A,0)))</f>
        <v/>
      </c>
      <c r="I717" s="7" t="str">
        <f t="array" ref="I717">IF(ISBLANK(F717), "", INDEX(Categories!$B:$B,MATCH(F717,Categories!$A:$A,0)))</f>
        <v/>
      </c>
      <c r="J717" s="4"/>
      <c r="K717" s="4"/>
      <c r="L717" s="4"/>
      <c r="M717" s="4"/>
      <c r="N717" s="4"/>
      <c r="O717" s="4"/>
      <c r="P717" s="4"/>
      <c r="Q717" s="4"/>
    </row>
    <row r="718">
      <c r="A718" s="5">
        <v>717.0</v>
      </c>
      <c r="B718" s="5" t="s">
        <v>980</v>
      </c>
      <c r="C718" s="5" t="s">
        <v>34</v>
      </c>
      <c r="D718" s="6">
        <f>IFERROR(__xludf.DUMMYFUNCTION("SPLIT(MID(C718,2,LEN(C718)-2), "","")"),228.0)</f>
        <v>228</v>
      </c>
      <c r="E718" s="7"/>
      <c r="F718" s="7"/>
      <c r="G718" s="2" t="str">
        <f t="array" ref="G718">IF(ISBLANK(D718), "", INDEX(Categories!$B:$B,MATCH(D718,Categories!$A:$A,0)))</f>
        <v>Restaurants</v>
      </c>
      <c r="H718" s="7" t="str">
        <f t="array" ref="H718">IF(ISBLANK(E718), "", INDEX(Categories!$B:$B,MATCH(E718,Categories!$A:$A,0)))</f>
        <v/>
      </c>
      <c r="I718" s="7" t="str">
        <f t="array" ref="I718">IF(ISBLANK(F718), "", INDEX(Categories!$B:$B,MATCH(F718,Categories!$A:$A,0)))</f>
        <v/>
      </c>
      <c r="J718" s="4"/>
      <c r="K718" s="4"/>
      <c r="L718" s="4"/>
      <c r="M718" s="4"/>
      <c r="N718" s="4"/>
      <c r="O718" s="4"/>
      <c r="P718" s="4"/>
      <c r="Q718" s="4"/>
    </row>
    <row r="719">
      <c r="A719" s="5">
        <v>718.0</v>
      </c>
      <c r="B719" s="5" t="s">
        <v>981</v>
      </c>
      <c r="C719" s="5" t="s">
        <v>45</v>
      </c>
      <c r="D719" s="6">
        <f>IFERROR(__xludf.DUMMYFUNCTION("SPLIT(MID(C719,2,LEN(C719)-2), "","")"),234.0)</f>
        <v>234</v>
      </c>
      <c r="E719" s="7"/>
      <c r="F719" s="7"/>
      <c r="G719" s="2" t="str">
        <f t="array" ref="G719">IF(ISBLANK(D719), "", INDEX(Categories!$B:$B,MATCH(D719,Categories!$A:$A,0)))</f>
        <v>Ice Cream Parlors Consumer</v>
      </c>
      <c r="H719" s="7" t="str">
        <f t="array" ref="H719">IF(ISBLANK(E719), "", INDEX(Categories!$B:$B,MATCH(E719,Categories!$A:$A,0)))</f>
        <v/>
      </c>
      <c r="I719" s="7" t="str">
        <f t="array" ref="I719">IF(ISBLANK(F719), "", INDEX(Categories!$B:$B,MATCH(F719,Categories!$A:$A,0)))</f>
        <v/>
      </c>
      <c r="J719" s="4"/>
      <c r="K719" s="4"/>
      <c r="L719" s="4"/>
      <c r="M719" s="4"/>
      <c r="N719" s="4"/>
      <c r="O719" s="4"/>
      <c r="P719" s="4"/>
      <c r="Q719" s="4"/>
    </row>
    <row r="720">
      <c r="A720" s="5">
        <v>719.0</v>
      </c>
      <c r="B720" s="5" t="s">
        <v>982</v>
      </c>
      <c r="C720" s="5" t="s">
        <v>62</v>
      </c>
      <c r="D720" s="6">
        <f>IFERROR(__xludf.DUMMYFUNCTION("SPLIT(MID(C720,2,LEN(C720)-2), "","")"),242.0)</f>
        <v>242</v>
      </c>
      <c r="E720" s="7"/>
      <c r="F720" s="7"/>
      <c r="G720" s="2" t="str">
        <f t="array" ref="G720">IF(ISBLANK(D720), "", INDEX(Categories!$B:$B,MATCH(D720,Categories!$A:$A,0)))</f>
        <v>Restaurants Pizza</v>
      </c>
      <c r="H720" s="7" t="str">
        <f t="array" ref="H720">IF(ISBLANK(E720), "", INDEX(Categories!$B:$B,MATCH(E720,Categories!$A:$A,0)))</f>
        <v/>
      </c>
      <c r="I720" s="7" t="str">
        <f t="array" ref="I720">IF(ISBLANK(F720), "", INDEX(Categories!$B:$B,MATCH(F720,Categories!$A:$A,0)))</f>
        <v/>
      </c>
      <c r="J720" s="4"/>
      <c r="K720" s="4"/>
      <c r="L720" s="4"/>
      <c r="M720" s="4"/>
      <c r="N720" s="4"/>
      <c r="O720" s="4"/>
      <c r="P720" s="4"/>
      <c r="Q720" s="4"/>
    </row>
    <row r="721">
      <c r="A721" s="5">
        <v>720.0</v>
      </c>
      <c r="B721" s="5" t="s">
        <v>983</v>
      </c>
      <c r="C721" s="5" t="s">
        <v>34</v>
      </c>
      <c r="D721" s="6">
        <f>IFERROR(__xludf.DUMMYFUNCTION("SPLIT(MID(C721,2,LEN(C721)-2), "","")"),228.0)</f>
        <v>228</v>
      </c>
      <c r="E721" s="7"/>
      <c r="F721" s="7"/>
      <c r="G721" s="2" t="str">
        <f t="array" ref="G721">IF(ISBLANK(D721), "", INDEX(Categories!$B:$B,MATCH(D721,Categories!$A:$A,0)))</f>
        <v>Restaurants</v>
      </c>
      <c r="H721" s="7" t="str">
        <f t="array" ref="H721">IF(ISBLANK(E721), "", INDEX(Categories!$B:$B,MATCH(E721,Categories!$A:$A,0)))</f>
        <v/>
      </c>
      <c r="I721" s="7" t="str">
        <f t="array" ref="I721">IF(ISBLANK(F721), "", INDEX(Categories!$B:$B,MATCH(F721,Categories!$A:$A,0)))</f>
        <v/>
      </c>
      <c r="J721" s="4"/>
      <c r="K721" s="4"/>
      <c r="L721" s="4"/>
      <c r="M721" s="4"/>
      <c r="N721" s="4"/>
      <c r="O721" s="4"/>
      <c r="P721" s="4"/>
      <c r="Q721" s="4"/>
    </row>
    <row r="722">
      <c r="A722" s="5">
        <v>721.0</v>
      </c>
      <c r="B722" s="5" t="s">
        <v>984</v>
      </c>
      <c r="C722" s="5" t="s">
        <v>34</v>
      </c>
      <c r="D722" s="6">
        <f>IFERROR(__xludf.DUMMYFUNCTION("SPLIT(MID(C722,2,LEN(C722)-2), "","")"),228.0)</f>
        <v>228</v>
      </c>
      <c r="E722" s="7"/>
      <c r="F722" s="7"/>
      <c r="G722" s="2" t="str">
        <f t="array" ref="G722">IF(ISBLANK(D722), "", INDEX(Categories!$B:$B,MATCH(D722,Categories!$A:$A,0)))</f>
        <v>Restaurants</v>
      </c>
      <c r="H722" s="7" t="str">
        <f t="array" ref="H722">IF(ISBLANK(E722), "", INDEX(Categories!$B:$B,MATCH(E722,Categories!$A:$A,0)))</f>
        <v/>
      </c>
      <c r="I722" s="7" t="str">
        <f t="array" ref="I722">IF(ISBLANK(F722), "", INDEX(Categories!$B:$B,MATCH(F722,Categories!$A:$A,0)))</f>
        <v/>
      </c>
      <c r="J722" s="4"/>
      <c r="K722" s="4"/>
      <c r="L722" s="4"/>
      <c r="M722" s="4"/>
      <c r="N722" s="4"/>
      <c r="O722" s="4"/>
      <c r="P722" s="4"/>
      <c r="Q722" s="4"/>
    </row>
    <row r="723">
      <c r="A723" s="5">
        <v>722.0</v>
      </c>
      <c r="B723" s="5" t="s">
        <v>985</v>
      </c>
      <c r="C723" s="5" t="s">
        <v>34</v>
      </c>
      <c r="D723" s="6">
        <f>IFERROR(__xludf.DUMMYFUNCTION("SPLIT(MID(C723,2,LEN(C723)-2), "","")"),228.0)</f>
        <v>228</v>
      </c>
      <c r="E723" s="7"/>
      <c r="F723" s="7"/>
      <c r="G723" s="2" t="str">
        <f t="array" ref="G723">IF(ISBLANK(D723), "", INDEX(Categories!$B:$B,MATCH(D723,Categories!$A:$A,0)))</f>
        <v>Restaurants</v>
      </c>
      <c r="H723" s="7" t="str">
        <f t="array" ref="H723">IF(ISBLANK(E723), "", INDEX(Categories!$B:$B,MATCH(E723,Categories!$A:$A,0)))</f>
        <v/>
      </c>
      <c r="I723" s="7" t="str">
        <f t="array" ref="I723">IF(ISBLANK(F723), "", INDEX(Categories!$B:$B,MATCH(F723,Categories!$A:$A,0)))</f>
        <v/>
      </c>
      <c r="J723" s="4"/>
      <c r="K723" s="4"/>
      <c r="L723" s="4"/>
      <c r="M723" s="4"/>
      <c r="N723" s="4"/>
      <c r="O723" s="4"/>
      <c r="P723" s="4"/>
      <c r="Q723" s="4"/>
    </row>
    <row r="724">
      <c r="A724" s="5">
        <v>723.0</v>
      </c>
      <c r="B724" s="5" t="s">
        <v>986</v>
      </c>
      <c r="C724" s="5" t="s">
        <v>34</v>
      </c>
      <c r="D724" s="6">
        <f>IFERROR(__xludf.DUMMYFUNCTION("SPLIT(MID(C724,2,LEN(C724)-2), "","")"),228.0)</f>
        <v>228</v>
      </c>
      <c r="E724" s="7"/>
      <c r="F724" s="7"/>
      <c r="G724" s="2" t="str">
        <f t="array" ref="G724">IF(ISBLANK(D724), "", INDEX(Categories!$B:$B,MATCH(D724,Categories!$A:$A,0)))</f>
        <v>Restaurants</v>
      </c>
      <c r="H724" s="7" t="str">
        <f t="array" ref="H724">IF(ISBLANK(E724), "", INDEX(Categories!$B:$B,MATCH(E724,Categories!$A:$A,0)))</f>
        <v/>
      </c>
      <c r="I724" s="7" t="str">
        <f t="array" ref="I724">IF(ISBLANK(F724), "", INDEX(Categories!$B:$B,MATCH(F724,Categories!$A:$A,0)))</f>
        <v/>
      </c>
      <c r="J724" s="4"/>
      <c r="K724" s="4"/>
      <c r="L724" s="4"/>
      <c r="M724" s="4"/>
      <c r="N724" s="4"/>
      <c r="O724" s="4"/>
      <c r="P724" s="4"/>
      <c r="Q724" s="4"/>
    </row>
    <row r="725">
      <c r="A725" s="5">
        <v>724.0</v>
      </c>
      <c r="B725" s="5" t="s">
        <v>987</v>
      </c>
      <c r="C725" s="5" t="s">
        <v>60</v>
      </c>
      <c r="D725" s="6">
        <f>IFERROR(__xludf.DUMMYFUNCTION("SPLIT(MID(C725,2,LEN(C725)-2), "","")"),240.0)</f>
        <v>240</v>
      </c>
      <c r="E725" s="7"/>
      <c r="F725" s="7"/>
      <c r="G725" s="2" t="str">
        <f t="array" ref="G725">IF(ISBLANK(D725), "", INDEX(Categories!$B:$B,MATCH(D725,Categories!$A:$A,0)))</f>
        <v>Restaurants Fast Food</v>
      </c>
      <c r="H725" s="7" t="str">
        <f t="array" ref="H725">IF(ISBLANK(E725), "", INDEX(Categories!$B:$B,MATCH(E725,Categories!$A:$A,0)))</f>
        <v/>
      </c>
      <c r="I725" s="7" t="str">
        <f t="array" ref="I725">IF(ISBLANK(F725), "", INDEX(Categories!$B:$B,MATCH(F725,Categories!$A:$A,0)))</f>
        <v/>
      </c>
      <c r="J725" s="4"/>
      <c r="K725" s="4"/>
      <c r="L725" s="4"/>
      <c r="M725" s="4"/>
      <c r="N725" s="4"/>
      <c r="O725" s="4"/>
      <c r="P725" s="4"/>
      <c r="Q725" s="4"/>
    </row>
    <row r="726">
      <c r="A726" s="5">
        <v>725.0</v>
      </c>
      <c r="B726" s="5" t="s">
        <v>988</v>
      </c>
      <c r="C726" s="5" t="s">
        <v>60</v>
      </c>
      <c r="D726" s="6">
        <f>IFERROR(__xludf.DUMMYFUNCTION("SPLIT(MID(C726,2,LEN(C726)-2), "","")"),240.0)</f>
        <v>240</v>
      </c>
      <c r="E726" s="7"/>
      <c r="F726" s="7"/>
      <c r="G726" s="2" t="str">
        <f t="array" ref="G726">IF(ISBLANK(D726), "", INDEX(Categories!$B:$B,MATCH(D726,Categories!$A:$A,0)))</f>
        <v>Restaurants Fast Food</v>
      </c>
      <c r="H726" s="7" t="str">
        <f t="array" ref="H726">IF(ISBLANK(E726), "", INDEX(Categories!$B:$B,MATCH(E726,Categories!$A:$A,0)))</f>
        <v/>
      </c>
      <c r="I726" s="7" t="str">
        <f t="array" ref="I726">IF(ISBLANK(F726), "", INDEX(Categories!$B:$B,MATCH(F726,Categories!$A:$A,0)))</f>
        <v/>
      </c>
      <c r="J726" s="4"/>
      <c r="K726" s="4"/>
      <c r="L726" s="4"/>
      <c r="M726" s="4"/>
      <c r="N726" s="4"/>
      <c r="O726" s="4"/>
      <c r="P726" s="4"/>
      <c r="Q726" s="4"/>
    </row>
    <row r="727">
      <c r="A727" s="5">
        <v>726.0</v>
      </c>
      <c r="B727" s="5" t="s">
        <v>989</v>
      </c>
      <c r="C727" s="5" t="s">
        <v>18</v>
      </c>
      <c r="D727" s="6">
        <f>IFERROR(__xludf.DUMMYFUNCTION("SPLIT(MID(C727,2,LEN(C727)-2), "","")"),121.0)</f>
        <v>121</v>
      </c>
      <c r="E727" s="7"/>
      <c r="F727" s="7"/>
      <c r="G727" s="2" t="str">
        <f t="array" ref="G727">IF(ISBLANK(D727), "", INDEX(Categories!$B:$B,MATCH(D727,Categories!$A:$A,0)))</f>
        <v>Insurance</v>
      </c>
      <c r="H727" s="7" t="str">
        <f t="array" ref="H727">IF(ISBLANK(E727), "", INDEX(Categories!$B:$B,MATCH(E727,Categories!$A:$A,0)))</f>
        <v/>
      </c>
      <c r="I727" s="7" t="str">
        <f t="array" ref="I727">IF(ISBLANK(F727), "", INDEX(Categories!$B:$B,MATCH(F727,Categories!$A:$A,0)))</f>
        <v/>
      </c>
      <c r="J727" s="4"/>
      <c r="K727" s="4"/>
      <c r="L727" s="4"/>
      <c r="M727" s="4"/>
      <c r="N727" s="4"/>
      <c r="O727" s="4"/>
      <c r="P727" s="4"/>
      <c r="Q727" s="4"/>
    </row>
    <row r="728">
      <c r="A728" s="5">
        <v>727.0</v>
      </c>
      <c r="B728" s="5" t="s">
        <v>990</v>
      </c>
      <c r="C728" s="5" t="s">
        <v>760</v>
      </c>
      <c r="D728" s="6">
        <f>IFERROR(__xludf.DUMMYFUNCTION("SPLIT(MID(C728,2,LEN(C728)-2), "","")"),1246.0)</f>
        <v>1246</v>
      </c>
      <c r="E728" s="7"/>
      <c r="F728" s="7"/>
      <c r="G728" s="2" t="str">
        <f t="array" ref="G728">IF(ISBLANK(D728), "", INDEX(Categories!$B:$B,MATCH(D728,Categories!$A:$A,0)))</f>
        <v>Clothing</v>
      </c>
      <c r="H728" s="7" t="str">
        <f t="array" ref="H728">IF(ISBLANK(E728), "", INDEX(Categories!$B:$B,MATCH(E728,Categories!$A:$A,0)))</f>
        <v/>
      </c>
      <c r="I728" s="7" t="str">
        <f t="array" ref="I728">IF(ISBLANK(F728), "", INDEX(Categories!$B:$B,MATCH(F728,Categories!$A:$A,0)))</f>
        <v/>
      </c>
      <c r="J728" s="4"/>
      <c r="K728" s="4"/>
      <c r="L728" s="4"/>
      <c r="M728" s="4"/>
      <c r="N728" s="4"/>
      <c r="O728" s="4"/>
      <c r="P728" s="4"/>
      <c r="Q728" s="4"/>
    </row>
    <row r="729">
      <c r="A729" s="5">
        <v>728.0</v>
      </c>
      <c r="B729" s="5" t="s">
        <v>991</v>
      </c>
      <c r="C729" s="5" t="s">
        <v>149</v>
      </c>
      <c r="D729" s="6">
        <f>IFERROR(__xludf.DUMMYFUNCTION("SPLIT(MID(C729,2,LEN(C729)-2), "","")"),560.0)</f>
        <v>560</v>
      </c>
      <c r="E729" s="7"/>
      <c r="F729" s="7"/>
      <c r="G729" s="2" t="str">
        <f t="array" ref="G729">IF(ISBLANK(D729), "", INDEX(Categories!$B:$B,MATCH(D729,Categories!$A:$A,0)))</f>
        <v>Employment Contractors Temporary Help Services</v>
      </c>
      <c r="H729" s="7" t="str">
        <f t="array" ref="H729">IF(ISBLANK(E729), "", INDEX(Categories!$B:$B,MATCH(E729,Categories!$A:$A,0)))</f>
        <v/>
      </c>
      <c r="I729" s="7" t="str">
        <f t="array" ref="I729">IF(ISBLANK(F729), "", INDEX(Categories!$B:$B,MATCH(F729,Categories!$A:$A,0)))</f>
        <v/>
      </c>
      <c r="J729" s="4"/>
      <c r="K729" s="4"/>
      <c r="L729" s="4"/>
      <c r="M729" s="4"/>
      <c r="N729" s="4"/>
      <c r="O729" s="4"/>
      <c r="P729" s="4"/>
      <c r="Q729" s="4"/>
    </row>
    <row r="730">
      <c r="A730" s="5">
        <v>729.0</v>
      </c>
      <c r="B730" s="5" t="s">
        <v>992</v>
      </c>
      <c r="C730" s="5" t="s">
        <v>41</v>
      </c>
      <c r="D730" s="6">
        <f>IFERROR(__xludf.DUMMYFUNCTION("SPLIT(MID(C730,2,LEN(C730)-2), "","")"),93.0)</f>
        <v>93</v>
      </c>
      <c r="E730" s="7"/>
      <c r="F730" s="7"/>
      <c r="G730" s="2" t="str">
        <f t="array" ref="G730">IF(ISBLANK(D730), "", INDEX(Categories!$B:$B,MATCH(D730,Categories!$A:$A,0)))</f>
        <v>Automobile - Rentals</v>
      </c>
      <c r="H730" s="7" t="str">
        <f t="array" ref="H730">IF(ISBLANK(E730), "", INDEX(Categories!$B:$B,MATCH(E730,Categories!$A:$A,0)))</f>
        <v/>
      </c>
      <c r="I730" s="7" t="str">
        <f t="array" ref="I730">IF(ISBLANK(F730), "", INDEX(Categories!$B:$B,MATCH(F730,Categories!$A:$A,0)))</f>
        <v/>
      </c>
      <c r="J730" s="4"/>
      <c r="K730" s="4"/>
      <c r="L730" s="4"/>
      <c r="M730" s="4"/>
      <c r="N730" s="4"/>
      <c r="O730" s="4"/>
      <c r="P730" s="4"/>
      <c r="Q730" s="4"/>
    </row>
    <row r="731">
      <c r="A731" s="5">
        <v>730.0</v>
      </c>
      <c r="B731" s="5" t="s">
        <v>993</v>
      </c>
      <c r="C731" s="5" t="s">
        <v>515</v>
      </c>
      <c r="D731" s="6">
        <f>IFERROR(__xludf.DUMMYFUNCTION("SPLIT(MID(C731,2,LEN(C731)-2), "","")"),2490.0)</f>
        <v>2490</v>
      </c>
      <c r="E731" s="7"/>
      <c r="F731" s="7"/>
      <c r="G731" s="2" t="str">
        <f t="array" ref="G731">IF(ISBLANK(D731), "", INDEX(Categories!$B:$B,MATCH(D731,Categories!$A:$A,0)))</f>
        <v>Labor Organizations</v>
      </c>
      <c r="H731" s="7" t="str">
        <f t="array" ref="H731">IF(ISBLANK(E731), "", INDEX(Categories!$B:$B,MATCH(E731,Categories!$A:$A,0)))</f>
        <v/>
      </c>
      <c r="I731" s="7" t="str">
        <f t="array" ref="I731">IF(ISBLANK(F731), "", INDEX(Categories!$B:$B,MATCH(F731,Categories!$A:$A,0)))</f>
        <v/>
      </c>
      <c r="J731" s="4"/>
      <c r="K731" s="4"/>
      <c r="L731" s="4"/>
      <c r="M731" s="4"/>
      <c r="N731" s="4"/>
      <c r="O731" s="4"/>
      <c r="P731" s="4"/>
      <c r="Q731" s="4"/>
    </row>
    <row r="732">
      <c r="A732" s="5">
        <v>731.0</v>
      </c>
      <c r="B732" s="5" t="s">
        <v>994</v>
      </c>
      <c r="C732" s="5" t="s">
        <v>69</v>
      </c>
      <c r="D732" s="6">
        <f>IFERROR(__xludf.DUMMYFUNCTION("SPLIT(MID(C732,2,LEN(C732)-2), "","")"),293.0)</f>
        <v>293</v>
      </c>
      <c r="E732" s="7"/>
      <c r="F732" s="7"/>
      <c r="G732" s="2" t="str">
        <f t="array" ref="G732">IF(ISBLANK(D732), "", INDEX(Categories!$B:$B,MATCH(D732,Categories!$A:$A,0)))</f>
        <v>Banks Commercial</v>
      </c>
      <c r="H732" s="7" t="str">
        <f t="array" ref="H732">IF(ISBLANK(E732), "", INDEX(Categories!$B:$B,MATCH(E732,Categories!$A:$A,0)))</f>
        <v/>
      </c>
      <c r="I732" s="7" t="str">
        <f t="array" ref="I732">IF(ISBLANK(F732), "", INDEX(Categories!$B:$B,MATCH(F732,Categories!$A:$A,0)))</f>
        <v/>
      </c>
      <c r="J732" s="4"/>
      <c r="K732" s="4"/>
      <c r="L732" s="4"/>
      <c r="M732" s="4"/>
      <c r="N732" s="4"/>
      <c r="O732" s="4"/>
      <c r="P732" s="4"/>
      <c r="Q732" s="4"/>
    </row>
    <row r="733">
      <c r="A733" s="5">
        <v>732.0</v>
      </c>
      <c r="B733" s="5" t="s">
        <v>995</v>
      </c>
      <c r="C733" s="5" t="s">
        <v>971</v>
      </c>
      <c r="D733" s="6">
        <f>IFERROR(__xludf.DUMMYFUNCTION("SPLIT(MID(C733,2,LEN(C733)-2), "","")"),1703.0)</f>
        <v>1703</v>
      </c>
      <c r="E733" s="7"/>
      <c r="F733" s="7"/>
      <c r="G733" s="2" t="str">
        <f t="array" ref="G733">IF(ISBLANK(D733), "", INDEX(Categories!$B:$B,MATCH(D733,Categories!$A:$A,0)))</f>
        <v>Food Service Management</v>
      </c>
      <c r="H733" s="7" t="str">
        <f t="array" ref="H733">IF(ISBLANK(E733), "", INDEX(Categories!$B:$B,MATCH(E733,Categories!$A:$A,0)))</f>
        <v/>
      </c>
      <c r="I733" s="7" t="str">
        <f t="array" ref="I733">IF(ISBLANK(F733), "", INDEX(Categories!$B:$B,MATCH(F733,Categories!$A:$A,0)))</f>
        <v/>
      </c>
      <c r="J733" s="4"/>
      <c r="K733" s="4"/>
      <c r="L733" s="4"/>
      <c r="M733" s="4"/>
      <c r="N733" s="4"/>
      <c r="O733" s="4"/>
      <c r="P733" s="4"/>
      <c r="Q733" s="4"/>
    </row>
    <row r="734">
      <c r="A734" s="5">
        <v>733.0</v>
      </c>
      <c r="B734" s="5" t="s">
        <v>996</v>
      </c>
      <c r="C734" s="5" t="s">
        <v>60</v>
      </c>
      <c r="D734" s="6">
        <f>IFERROR(__xludf.DUMMYFUNCTION("SPLIT(MID(C734,2,LEN(C734)-2), "","")"),240.0)</f>
        <v>240</v>
      </c>
      <c r="E734" s="7"/>
      <c r="F734" s="7"/>
      <c r="G734" s="2" t="str">
        <f t="array" ref="G734">IF(ISBLANK(D734), "", INDEX(Categories!$B:$B,MATCH(D734,Categories!$A:$A,0)))</f>
        <v>Restaurants Fast Food</v>
      </c>
      <c r="H734" s="7" t="str">
        <f t="array" ref="H734">IF(ISBLANK(E734), "", INDEX(Categories!$B:$B,MATCH(E734,Categories!$A:$A,0)))</f>
        <v/>
      </c>
      <c r="I734" s="7" t="str">
        <f t="array" ref="I734">IF(ISBLANK(F734), "", INDEX(Categories!$B:$B,MATCH(F734,Categories!$A:$A,0)))</f>
        <v/>
      </c>
      <c r="J734" s="4"/>
      <c r="K734" s="4"/>
      <c r="L734" s="4"/>
      <c r="M734" s="4"/>
      <c r="N734" s="4"/>
      <c r="O734" s="4"/>
      <c r="P734" s="4"/>
      <c r="Q734" s="4"/>
    </row>
    <row r="735">
      <c r="A735" s="5">
        <v>734.0</v>
      </c>
      <c r="B735" s="5" t="s">
        <v>997</v>
      </c>
      <c r="C735" s="5" t="s">
        <v>998</v>
      </c>
      <c r="D735" s="6">
        <f>IFERROR(__xludf.DUMMYFUNCTION("SPLIT(MID(C735,2,LEN(C735)-2), "","")"),428.0)</f>
        <v>428</v>
      </c>
      <c r="E735" s="7"/>
      <c r="F735" s="7"/>
      <c r="G735" s="2" t="str">
        <f t="array" ref="G735">IF(ISBLANK(D735), "", INDEX(Categories!$B:$B,MATCH(D735,Categories!$A:$A,0)))</f>
        <v>Tree Service</v>
      </c>
      <c r="H735" s="7" t="str">
        <f t="array" ref="H735">IF(ISBLANK(E735), "", INDEX(Categories!$B:$B,MATCH(E735,Categories!$A:$A,0)))</f>
        <v/>
      </c>
      <c r="I735" s="7" t="str">
        <f t="array" ref="I735">IF(ISBLANK(F735), "", INDEX(Categories!$B:$B,MATCH(F735,Categories!$A:$A,0)))</f>
        <v/>
      </c>
      <c r="J735" s="4"/>
      <c r="K735" s="4"/>
      <c r="L735" s="4"/>
      <c r="M735" s="4"/>
      <c r="N735" s="4"/>
      <c r="O735" s="4"/>
      <c r="P735" s="4"/>
      <c r="Q735" s="4"/>
    </row>
    <row r="736">
      <c r="A736" s="5">
        <v>735.0</v>
      </c>
      <c r="B736" s="5" t="s">
        <v>999</v>
      </c>
      <c r="C736" s="5" t="s">
        <v>47</v>
      </c>
      <c r="D736" s="6">
        <f>IFERROR(__xludf.DUMMYFUNCTION("SPLIT(MID(C736,2,LEN(C736)-2), "","")"),546.0)</f>
        <v>546</v>
      </c>
      <c r="E736" s="7"/>
      <c r="F736" s="7"/>
      <c r="G736" s="2" t="str">
        <f t="array" ref="G736">IF(ISBLANK(D736), "", INDEX(Categories!$B:$B,MATCH(D736,Categories!$A:$A,0)))</f>
        <v>Cosmetics &amp; Perfumes Retail</v>
      </c>
      <c r="H736" s="7" t="str">
        <f t="array" ref="H736">IF(ISBLANK(E736), "", INDEX(Categories!$B:$B,MATCH(E736,Categories!$A:$A,0)))</f>
        <v/>
      </c>
      <c r="I736" s="7" t="str">
        <f t="array" ref="I736">IF(ISBLANK(F736), "", INDEX(Categories!$B:$B,MATCH(F736,Categories!$A:$A,0)))</f>
        <v/>
      </c>
      <c r="J736" s="4"/>
      <c r="K736" s="4"/>
      <c r="L736" s="4"/>
      <c r="M736" s="4"/>
      <c r="N736" s="4"/>
      <c r="O736" s="4"/>
      <c r="P736" s="4"/>
      <c r="Q736" s="4"/>
    </row>
    <row r="737">
      <c r="A737" s="5">
        <v>736.0</v>
      </c>
      <c r="B737" s="5" t="s">
        <v>1000</v>
      </c>
      <c r="C737" s="5" t="s">
        <v>34</v>
      </c>
      <c r="D737" s="6">
        <f>IFERROR(__xludf.DUMMYFUNCTION("SPLIT(MID(C737,2,LEN(C737)-2), "","")"),228.0)</f>
        <v>228</v>
      </c>
      <c r="E737" s="7"/>
      <c r="F737" s="7"/>
      <c r="G737" s="2" t="str">
        <f t="array" ref="G737">IF(ISBLANK(D737), "", INDEX(Categories!$B:$B,MATCH(D737,Categories!$A:$A,0)))</f>
        <v>Restaurants</v>
      </c>
      <c r="H737" s="7" t="str">
        <f t="array" ref="H737">IF(ISBLANK(E737), "", INDEX(Categories!$B:$B,MATCH(E737,Categories!$A:$A,0)))</f>
        <v/>
      </c>
      <c r="I737" s="7" t="str">
        <f t="array" ref="I737">IF(ISBLANK(F737), "", INDEX(Categories!$B:$B,MATCH(F737,Categories!$A:$A,0)))</f>
        <v/>
      </c>
      <c r="J737" s="4"/>
      <c r="K737" s="4"/>
      <c r="L737" s="4"/>
      <c r="M737" s="4"/>
      <c r="N737" s="4"/>
      <c r="O737" s="4"/>
      <c r="P737" s="4"/>
      <c r="Q737" s="4"/>
    </row>
    <row r="738">
      <c r="A738" s="5">
        <v>737.0</v>
      </c>
      <c r="B738" s="5" t="s">
        <v>1001</v>
      </c>
      <c r="C738" s="5" t="s">
        <v>200</v>
      </c>
      <c r="D738" s="6">
        <f>IFERROR(__xludf.DUMMYFUNCTION("SPLIT(MID(C738,2,LEN(C738)-2), "","")"),316.0)</f>
        <v>316</v>
      </c>
      <c r="E738" s="7"/>
      <c r="F738" s="7"/>
      <c r="G738" s="2" t="str">
        <f t="array" ref="G738">IF(ISBLANK(D738), "", INDEX(Categories!$B:$B,MATCH(D738,Categories!$A:$A,0)))</f>
        <v>Sporting Goods</v>
      </c>
      <c r="H738" s="7" t="str">
        <f t="array" ref="H738">IF(ISBLANK(E738), "", INDEX(Categories!$B:$B,MATCH(E738,Categories!$A:$A,0)))</f>
        <v/>
      </c>
      <c r="I738" s="7" t="str">
        <f t="array" ref="I738">IF(ISBLANK(F738), "", INDEX(Categories!$B:$B,MATCH(F738,Categories!$A:$A,0)))</f>
        <v/>
      </c>
      <c r="J738" s="4"/>
      <c r="K738" s="4"/>
      <c r="L738" s="4"/>
      <c r="M738" s="4"/>
      <c r="N738" s="4"/>
      <c r="O738" s="4"/>
      <c r="P738" s="4"/>
      <c r="Q738" s="4"/>
    </row>
    <row r="739">
      <c r="A739" s="5">
        <v>738.0</v>
      </c>
      <c r="B739" s="5" t="s">
        <v>1002</v>
      </c>
      <c r="C739" s="5" t="s">
        <v>34</v>
      </c>
      <c r="D739" s="6">
        <f>IFERROR(__xludf.DUMMYFUNCTION("SPLIT(MID(C739,2,LEN(C739)-2), "","")"),228.0)</f>
        <v>228</v>
      </c>
      <c r="E739" s="7"/>
      <c r="F739" s="7"/>
      <c r="G739" s="2" t="str">
        <f t="array" ref="G739">IF(ISBLANK(D739), "", INDEX(Categories!$B:$B,MATCH(D739,Categories!$A:$A,0)))</f>
        <v>Restaurants</v>
      </c>
      <c r="H739" s="7" t="str">
        <f t="array" ref="H739">IF(ISBLANK(E739), "", INDEX(Categories!$B:$B,MATCH(E739,Categories!$A:$A,0)))</f>
        <v/>
      </c>
      <c r="I739" s="7" t="str">
        <f t="array" ref="I739">IF(ISBLANK(F739), "", INDEX(Categories!$B:$B,MATCH(F739,Categories!$A:$A,0)))</f>
        <v/>
      </c>
      <c r="J739" s="4"/>
      <c r="K739" s="4"/>
      <c r="L739" s="4"/>
      <c r="M739" s="4"/>
      <c r="N739" s="4"/>
      <c r="O739" s="4"/>
      <c r="P739" s="4"/>
      <c r="Q739" s="4"/>
    </row>
    <row r="740">
      <c r="A740" s="5">
        <v>739.0</v>
      </c>
      <c r="B740" s="5" t="s">
        <v>1003</v>
      </c>
      <c r="C740" s="5" t="s">
        <v>34</v>
      </c>
      <c r="D740" s="6">
        <f>IFERROR(__xludf.DUMMYFUNCTION("SPLIT(MID(C740,2,LEN(C740)-2), "","")"),228.0)</f>
        <v>228</v>
      </c>
      <c r="E740" s="7"/>
      <c r="F740" s="7"/>
      <c r="G740" s="2" t="str">
        <f t="array" ref="G740">IF(ISBLANK(D740), "", INDEX(Categories!$B:$B,MATCH(D740,Categories!$A:$A,0)))</f>
        <v>Restaurants</v>
      </c>
      <c r="H740" s="7" t="str">
        <f t="array" ref="H740">IF(ISBLANK(E740), "", INDEX(Categories!$B:$B,MATCH(E740,Categories!$A:$A,0)))</f>
        <v/>
      </c>
      <c r="I740" s="7" t="str">
        <f t="array" ref="I740">IF(ISBLANK(F740), "", INDEX(Categories!$B:$B,MATCH(F740,Categories!$A:$A,0)))</f>
        <v/>
      </c>
      <c r="J740" s="4"/>
      <c r="K740" s="4"/>
      <c r="L740" s="4"/>
      <c r="M740" s="4"/>
      <c r="N740" s="4"/>
      <c r="O740" s="4"/>
      <c r="P740" s="4"/>
      <c r="Q740" s="4"/>
    </row>
    <row r="741">
      <c r="A741" s="5">
        <v>740.0</v>
      </c>
      <c r="B741" s="5" t="s">
        <v>1004</v>
      </c>
      <c r="C741" s="5" t="s">
        <v>225</v>
      </c>
      <c r="D741" s="6">
        <f>IFERROR(__xludf.DUMMYFUNCTION("SPLIT(MID(C741,2,LEN(C741)-2), "","")"),370.0)</f>
        <v>370</v>
      </c>
      <c r="E741" s="7"/>
      <c r="F741" s="7"/>
      <c r="G741" s="2" t="str">
        <f t="array" ref="G741">IF(ISBLANK(D741), "", INDEX(Categories!$B:$B,MATCH(D741,Categories!$A:$A,0)))</f>
        <v>Churches</v>
      </c>
      <c r="H741" s="7" t="str">
        <f t="array" ref="H741">IF(ISBLANK(E741), "", INDEX(Categories!$B:$B,MATCH(E741,Categories!$A:$A,0)))</f>
        <v/>
      </c>
      <c r="I741" s="7" t="str">
        <f t="array" ref="I741">IF(ISBLANK(F741), "", INDEX(Categories!$B:$B,MATCH(F741,Categories!$A:$A,0)))</f>
        <v/>
      </c>
      <c r="J741" s="4"/>
      <c r="K741" s="4"/>
      <c r="L741" s="4"/>
      <c r="M741" s="4"/>
      <c r="N741" s="4"/>
      <c r="O741" s="4"/>
      <c r="P741" s="4"/>
      <c r="Q741" s="4"/>
    </row>
    <row r="742">
      <c r="A742" s="5">
        <v>741.0</v>
      </c>
      <c r="B742" s="5" t="s">
        <v>1005</v>
      </c>
      <c r="C742" s="5" t="s">
        <v>1006</v>
      </c>
      <c r="D742" s="6">
        <f>IFERROR(__xludf.DUMMYFUNCTION("SPLIT(MID(C742,2,LEN(C742)-2), "","")"),1808.0)</f>
        <v>1808</v>
      </c>
      <c r="E742" s="7"/>
      <c r="F742" s="7"/>
      <c r="G742" s="2" t="str">
        <f t="array" ref="G742">IF(ISBLANK(D742), "", INDEX(Categories!$B:$B,MATCH(D742,Categories!$A:$A,0)))</f>
        <v>Coffee Houses</v>
      </c>
      <c r="H742" s="7" t="str">
        <f t="array" ref="H742">IF(ISBLANK(E742), "", INDEX(Categories!$B:$B,MATCH(E742,Categories!$A:$A,0)))</f>
        <v/>
      </c>
      <c r="I742" s="7" t="str">
        <f t="array" ref="I742">IF(ISBLANK(F742), "", INDEX(Categories!$B:$B,MATCH(F742,Categories!$A:$A,0)))</f>
        <v/>
      </c>
      <c r="J742" s="4"/>
      <c r="K742" s="4"/>
      <c r="L742" s="4"/>
      <c r="M742" s="4"/>
      <c r="N742" s="4"/>
      <c r="O742" s="4"/>
      <c r="P742" s="4"/>
      <c r="Q742" s="4"/>
    </row>
    <row r="743">
      <c r="A743" s="5">
        <v>742.0</v>
      </c>
      <c r="B743" s="5" t="s">
        <v>1007</v>
      </c>
      <c r="C743" s="5" t="s">
        <v>65</v>
      </c>
      <c r="D743" s="6">
        <f>IFERROR(__xludf.DUMMYFUNCTION("SPLIT(MID(C743,2,LEN(C743)-2), "","")"),983.0)</f>
        <v>983</v>
      </c>
      <c r="E743" s="7"/>
      <c r="F743" s="7"/>
      <c r="G743" s="2" t="str">
        <f t="array" ref="G743">IF(ISBLANK(D743), "", INDEX(Categories!$B:$B,MATCH(D743,Categories!$A:$A,0)))</f>
        <v>Mobile Telephone Service</v>
      </c>
      <c r="H743" s="7" t="str">
        <f t="array" ref="H743">IF(ISBLANK(E743), "", INDEX(Categories!$B:$B,MATCH(E743,Categories!$A:$A,0)))</f>
        <v/>
      </c>
      <c r="I743" s="7" t="str">
        <f t="array" ref="I743">IF(ISBLANK(F743), "", INDEX(Categories!$B:$B,MATCH(F743,Categories!$A:$A,0)))</f>
        <v/>
      </c>
      <c r="J743" s="4"/>
      <c r="K743" s="4"/>
      <c r="L743" s="4"/>
      <c r="M743" s="4"/>
      <c r="N743" s="4"/>
      <c r="O743" s="4"/>
      <c r="P743" s="4"/>
      <c r="Q743" s="4"/>
    </row>
    <row r="744">
      <c r="A744" s="5">
        <v>743.0</v>
      </c>
      <c r="B744" s="5" t="s">
        <v>1008</v>
      </c>
      <c r="C744" s="5" t="s">
        <v>504</v>
      </c>
      <c r="D744" s="6">
        <f>IFERROR(__xludf.DUMMYFUNCTION("SPLIT(MID(C744,2,LEN(C744)-2), "","")"),17.0)</f>
        <v>17</v>
      </c>
      <c r="E744" s="7"/>
      <c r="F744" s="7"/>
      <c r="G744" s="2" t="str">
        <f t="array" ref="G744">IF(ISBLANK(D744), "", INDEX(Categories!$B:$B,MATCH(D744,Categories!$A:$A,0)))</f>
        <v>Title Companies &amp; Agents</v>
      </c>
      <c r="H744" s="7" t="str">
        <f t="array" ref="H744">IF(ISBLANK(E744), "", INDEX(Categories!$B:$B,MATCH(E744,Categories!$A:$A,0)))</f>
        <v/>
      </c>
      <c r="I744" s="7" t="str">
        <f t="array" ref="I744">IF(ISBLANK(F744), "", INDEX(Categories!$B:$B,MATCH(F744,Categories!$A:$A,0)))</f>
        <v/>
      </c>
      <c r="J744" s="4"/>
      <c r="K744" s="4"/>
      <c r="L744" s="4"/>
      <c r="M744" s="4"/>
      <c r="N744" s="4"/>
      <c r="O744" s="4"/>
      <c r="P744" s="4"/>
      <c r="Q744" s="4"/>
    </row>
    <row r="745">
      <c r="A745" s="5">
        <v>744.0</v>
      </c>
      <c r="B745" s="5" t="s">
        <v>1009</v>
      </c>
      <c r="C745" s="5" t="s">
        <v>69</v>
      </c>
      <c r="D745" s="6">
        <f>IFERROR(__xludf.DUMMYFUNCTION("SPLIT(MID(C745,2,LEN(C745)-2), "","")"),293.0)</f>
        <v>293</v>
      </c>
      <c r="E745" s="7"/>
      <c r="F745" s="7"/>
      <c r="G745" s="2" t="str">
        <f t="array" ref="G745">IF(ISBLANK(D745), "", INDEX(Categories!$B:$B,MATCH(D745,Categories!$A:$A,0)))</f>
        <v>Banks Commercial</v>
      </c>
      <c r="H745" s="7" t="str">
        <f t="array" ref="H745">IF(ISBLANK(E745), "", INDEX(Categories!$B:$B,MATCH(E745,Categories!$A:$A,0)))</f>
        <v/>
      </c>
      <c r="I745" s="7" t="str">
        <f t="array" ref="I745">IF(ISBLANK(F745), "", INDEX(Categories!$B:$B,MATCH(F745,Categories!$A:$A,0)))</f>
        <v/>
      </c>
      <c r="J745" s="4"/>
      <c r="K745" s="4"/>
      <c r="L745" s="4"/>
      <c r="M745" s="4"/>
      <c r="N745" s="4"/>
      <c r="O745" s="4"/>
      <c r="P745" s="4"/>
      <c r="Q745" s="4"/>
    </row>
    <row r="746">
      <c r="A746" s="5">
        <v>745.0</v>
      </c>
      <c r="B746" s="5" t="s">
        <v>1010</v>
      </c>
      <c r="C746" s="5" t="s">
        <v>34</v>
      </c>
      <c r="D746" s="6">
        <f>IFERROR(__xludf.DUMMYFUNCTION("SPLIT(MID(C746,2,LEN(C746)-2), "","")"),228.0)</f>
        <v>228</v>
      </c>
      <c r="E746" s="7"/>
      <c r="F746" s="7"/>
      <c r="G746" s="2" t="str">
        <f t="array" ref="G746">IF(ISBLANK(D746), "", INDEX(Categories!$B:$B,MATCH(D746,Categories!$A:$A,0)))</f>
        <v>Restaurants</v>
      </c>
      <c r="H746" s="7" t="str">
        <f t="array" ref="H746">IF(ISBLANK(E746), "", INDEX(Categories!$B:$B,MATCH(E746,Categories!$A:$A,0)))</f>
        <v/>
      </c>
      <c r="I746" s="7" t="str">
        <f t="array" ref="I746">IF(ISBLANK(F746), "", INDEX(Categories!$B:$B,MATCH(F746,Categories!$A:$A,0)))</f>
        <v/>
      </c>
      <c r="J746" s="4"/>
      <c r="K746" s="4"/>
      <c r="L746" s="4"/>
      <c r="M746" s="4"/>
      <c r="N746" s="4"/>
      <c r="O746" s="4"/>
      <c r="P746" s="4"/>
      <c r="Q746" s="4"/>
    </row>
    <row r="747">
      <c r="A747" s="5">
        <v>746.0</v>
      </c>
      <c r="B747" s="5" t="s">
        <v>1011</v>
      </c>
      <c r="C747" s="5" t="s">
        <v>45</v>
      </c>
      <c r="D747" s="6">
        <f>IFERROR(__xludf.DUMMYFUNCTION("SPLIT(MID(C747,2,LEN(C747)-2), "","")"),234.0)</f>
        <v>234</v>
      </c>
      <c r="E747" s="7"/>
      <c r="F747" s="7"/>
      <c r="G747" s="2" t="str">
        <f t="array" ref="G747">IF(ISBLANK(D747), "", INDEX(Categories!$B:$B,MATCH(D747,Categories!$A:$A,0)))</f>
        <v>Ice Cream Parlors Consumer</v>
      </c>
      <c r="H747" s="7" t="str">
        <f t="array" ref="H747">IF(ISBLANK(E747), "", INDEX(Categories!$B:$B,MATCH(E747,Categories!$A:$A,0)))</f>
        <v/>
      </c>
      <c r="I747" s="7" t="str">
        <f t="array" ref="I747">IF(ISBLANK(F747), "", INDEX(Categories!$B:$B,MATCH(F747,Categories!$A:$A,0)))</f>
        <v/>
      </c>
      <c r="J747" s="4"/>
      <c r="K747" s="4"/>
      <c r="L747" s="4"/>
      <c r="M747" s="4"/>
      <c r="N747" s="4"/>
      <c r="O747" s="4"/>
      <c r="P747" s="4"/>
      <c r="Q747" s="4"/>
    </row>
    <row r="748">
      <c r="A748" s="5">
        <v>747.0</v>
      </c>
      <c r="B748" s="5" t="s">
        <v>1012</v>
      </c>
      <c r="C748" s="5" t="s">
        <v>62</v>
      </c>
      <c r="D748" s="6">
        <f>IFERROR(__xludf.DUMMYFUNCTION("SPLIT(MID(C748,2,LEN(C748)-2), "","")"),242.0)</f>
        <v>242</v>
      </c>
      <c r="E748" s="7"/>
      <c r="F748" s="7"/>
      <c r="G748" s="2" t="str">
        <f t="array" ref="G748">IF(ISBLANK(D748), "", INDEX(Categories!$B:$B,MATCH(D748,Categories!$A:$A,0)))</f>
        <v>Restaurants Pizza</v>
      </c>
      <c r="H748" s="7" t="str">
        <f t="array" ref="H748">IF(ISBLANK(E748), "", INDEX(Categories!$B:$B,MATCH(E748,Categories!$A:$A,0)))</f>
        <v/>
      </c>
      <c r="I748" s="7" t="str">
        <f t="array" ref="I748">IF(ISBLANK(F748), "", INDEX(Categories!$B:$B,MATCH(F748,Categories!$A:$A,0)))</f>
        <v/>
      </c>
      <c r="J748" s="4"/>
      <c r="K748" s="4"/>
      <c r="L748" s="4"/>
      <c r="M748" s="4"/>
      <c r="N748" s="4"/>
      <c r="O748" s="4"/>
      <c r="P748" s="4"/>
      <c r="Q748" s="4"/>
    </row>
    <row r="749">
      <c r="A749" s="5">
        <v>748.0</v>
      </c>
      <c r="B749" s="5" t="s">
        <v>1013</v>
      </c>
      <c r="C749" s="5" t="s">
        <v>34</v>
      </c>
      <c r="D749" s="6">
        <f>IFERROR(__xludf.DUMMYFUNCTION("SPLIT(MID(C749,2,LEN(C749)-2), "","")"),228.0)</f>
        <v>228</v>
      </c>
      <c r="E749" s="7"/>
      <c r="F749" s="7"/>
      <c r="G749" s="2" t="str">
        <f t="array" ref="G749">IF(ISBLANK(D749), "", INDEX(Categories!$B:$B,MATCH(D749,Categories!$A:$A,0)))</f>
        <v>Restaurants</v>
      </c>
      <c r="H749" s="7" t="str">
        <f t="array" ref="H749">IF(ISBLANK(E749), "", INDEX(Categories!$B:$B,MATCH(E749,Categories!$A:$A,0)))</f>
        <v/>
      </c>
      <c r="I749" s="7" t="str">
        <f t="array" ref="I749">IF(ISBLANK(F749), "", INDEX(Categories!$B:$B,MATCH(F749,Categories!$A:$A,0)))</f>
        <v/>
      </c>
      <c r="J749" s="4"/>
      <c r="K749" s="4"/>
      <c r="L749" s="4"/>
      <c r="M749" s="4"/>
      <c r="N749" s="4"/>
      <c r="O749" s="4"/>
      <c r="P749" s="4"/>
      <c r="Q749" s="4"/>
    </row>
    <row r="750">
      <c r="A750" s="5">
        <v>749.0</v>
      </c>
      <c r="B750" s="5" t="s">
        <v>1014</v>
      </c>
      <c r="C750" s="5" t="s">
        <v>34</v>
      </c>
      <c r="D750" s="6">
        <f>IFERROR(__xludf.DUMMYFUNCTION("SPLIT(MID(C750,2,LEN(C750)-2), "","")"),228.0)</f>
        <v>228</v>
      </c>
      <c r="E750" s="7"/>
      <c r="F750" s="7"/>
      <c r="G750" s="2" t="str">
        <f t="array" ref="G750">IF(ISBLANK(D750), "", INDEX(Categories!$B:$B,MATCH(D750,Categories!$A:$A,0)))</f>
        <v>Restaurants</v>
      </c>
      <c r="H750" s="7" t="str">
        <f t="array" ref="H750">IF(ISBLANK(E750), "", INDEX(Categories!$B:$B,MATCH(E750,Categories!$A:$A,0)))</f>
        <v/>
      </c>
      <c r="I750" s="7" t="str">
        <f t="array" ref="I750">IF(ISBLANK(F750), "", INDEX(Categories!$B:$B,MATCH(F750,Categories!$A:$A,0)))</f>
        <v/>
      </c>
      <c r="J750" s="4"/>
      <c r="K750" s="4"/>
      <c r="L750" s="4"/>
      <c r="M750" s="4"/>
      <c r="N750" s="4"/>
      <c r="O750" s="4"/>
      <c r="P750" s="4"/>
      <c r="Q750" s="4"/>
    </row>
    <row r="751">
      <c r="A751" s="5">
        <v>750.0</v>
      </c>
      <c r="B751" s="5" t="s">
        <v>1015</v>
      </c>
      <c r="C751" s="5" t="s">
        <v>34</v>
      </c>
      <c r="D751" s="6">
        <f>IFERROR(__xludf.DUMMYFUNCTION("SPLIT(MID(C751,2,LEN(C751)-2), "","")"),228.0)</f>
        <v>228</v>
      </c>
      <c r="E751" s="7"/>
      <c r="F751" s="7"/>
      <c r="G751" s="2" t="str">
        <f t="array" ref="G751">IF(ISBLANK(D751), "", INDEX(Categories!$B:$B,MATCH(D751,Categories!$A:$A,0)))</f>
        <v>Restaurants</v>
      </c>
      <c r="H751" s="7" t="str">
        <f t="array" ref="H751">IF(ISBLANK(E751), "", INDEX(Categories!$B:$B,MATCH(E751,Categories!$A:$A,0)))</f>
        <v/>
      </c>
      <c r="I751" s="7" t="str">
        <f t="array" ref="I751">IF(ISBLANK(F751), "", INDEX(Categories!$B:$B,MATCH(F751,Categories!$A:$A,0)))</f>
        <v/>
      </c>
      <c r="J751" s="4"/>
      <c r="K751" s="4"/>
      <c r="L751" s="4"/>
      <c r="M751" s="4"/>
      <c r="N751" s="4"/>
      <c r="O751" s="4"/>
      <c r="P751" s="4"/>
      <c r="Q751" s="4"/>
    </row>
    <row r="752">
      <c r="A752" s="5">
        <v>751.0</v>
      </c>
      <c r="B752" s="5" t="s">
        <v>1016</v>
      </c>
      <c r="C752" s="5" t="s">
        <v>34</v>
      </c>
      <c r="D752" s="6">
        <f>IFERROR(__xludf.DUMMYFUNCTION("SPLIT(MID(C752,2,LEN(C752)-2), "","")"),228.0)</f>
        <v>228</v>
      </c>
      <c r="E752" s="7"/>
      <c r="F752" s="7"/>
      <c r="G752" s="2" t="str">
        <f t="array" ref="G752">IF(ISBLANK(D752), "", INDEX(Categories!$B:$B,MATCH(D752,Categories!$A:$A,0)))</f>
        <v>Restaurants</v>
      </c>
      <c r="H752" s="7" t="str">
        <f t="array" ref="H752">IF(ISBLANK(E752), "", INDEX(Categories!$B:$B,MATCH(E752,Categories!$A:$A,0)))</f>
        <v/>
      </c>
      <c r="I752" s="7" t="str">
        <f t="array" ref="I752">IF(ISBLANK(F752), "", INDEX(Categories!$B:$B,MATCH(F752,Categories!$A:$A,0)))</f>
        <v/>
      </c>
      <c r="J752" s="4"/>
      <c r="K752" s="4"/>
      <c r="L752" s="4"/>
      <c r="M752" s="4"/>
      <c r="N752" s="4"/>
      <c r="O752" s="4"/>
      <c r="P752" s="4"/>
      <c r="Q752" s="4"/>
    </row>
    <row r="753">
      <c r="A753" s="5">
        <v>752.0</v>
      </c>
      <c r="B753" s="5" t="s">
        <v>1017</v>
      </c>
      <c r="C753" s="5" t="s">
        <v>62</v>
      </c>
      <c r="D753" s="6">
        <f>IFERROR(__xludf.DUMMYFUNCTION("SPLIT(MID(C753,2,LEN(C753)-2), "","")"),242.0)</f>
        <v>242</v>
      </c>
      <c r="E753" s="7"/>
      <c r="F753" s="7"/>
      <c r="G753" s="2" t="str">
        <f t="array" ref="G753">IF(ISBLANK(D753), "", INDEX(Categories!$B:$B,MATCH(D753,Categories!$A:$A,0)))</f>
        <v>Restaurants Pizza</v>
      </c>
      <c r="H753" s="7" t="str">
        <f t="array" ref="H753">IF(ISBLANK(E753), "", INDEX(Categories!$B:$B,MATCH(E753,Categories!$A:$A,0)))</f>
        <v/>
      </c>
      <c r="I753" s="7" t="str">
        <f t="array" ref="I753">IF(ISBLANK(F753), "", INDEX(Categories!$B:$B,MATCH(F753,Categories!$A:$A,0)))</f>
        <v/>
      </c>
      <c r="J753" s="4"/>
      <c r="K753" s="4"/>
      <c r="L753" s="4"/>
      <c r="M753" s="4"/>
      <c r="N753" s="4"/>
      <c r="O753" s="4"/>
      <c r="P753" s="4"/>
      <c r="Q753" s="4"/>
    </row>
    <row r="754">
      <c r="A754" s="5">
        <v>753.0</v>
      </c>
      <c r="B754" s="5" t="s">
        <v>1018</v>
      </c>
      <c r="C754" s="5" t="s">
        <v>62</v>
      </c>
      <c r="D754" s="6">
        <f>IFERROR(__xludf.DUMMYFUNCTION("SPLIT(MID(C754,2,LEN(C754)-2), "","")"),242.0)</f>
        <v>242</v>
      </c>
      <c r="E754" s="7"/>
      <c r="F754" s="7"/>
      <c r="G754" s="2" t="str">
        <f t="array" ref="G754">IF(ISBLANK(D754), "", INDEX(Categories!$B:$B,MATCH(D754,Categories!$A:$A,0)))</f>
        <v>Restaurants Pizza</v>
      </c>
      <c r="H754" s="7" t="str">
        <f t="array" ref="H754">IF(ISBLANK(E754), "", INDEX(Categories!$B:$B,MATCH(E754,Categories!$A:$A,0)))</f>
        <v/>
      </c>
      <c r="I754" s="7" t="str">
        <f t="array" ref="I754">IF(ISBLANK(F754), "", INDEX(Categories!$B:$B,MATCH(F754,Categories!$A:$A,0)))</f>
        <v/>
      </c>
      <c r="J754" s="4"/>
      <c r="K754" s="4"/>
      <c r="L754" s="4"/>
      <c r="M754" s="4"/>
      <c r="N754" s="4"/>
      <c r="O754" s="4"/>
      <c r="P754" s="4"/>
      <c r="Q754" s="4"/>
    </row>
    <row r="755">
      <c r="A755" s="5">
        <v>754.0</v>
      </c>
      <c r="B755" s="5" t="s">
        <v>1019</v>
      </c>
      <c r="C755" s="5" t="s">
        <v>371</v>
      </c>
      <c r="D755" s="6">
        <f>IFERROR(__xludf.DUMMYFUNCTION("SPLIT(MID(C755,2,LEN(C755)-2), "","")"),37.0)</f>
        <v>37</v>
      </c>
      <c r="E755" s="7"/>
      <c r="F755" s="7"/>
      <c r="G755" s="2" t="str">
        <f t="array" ref="G755">IF(ISBLANK(D755), "", INDEX(Categories!$B:$B,MATCH(D755,Categories!$A:$A,0)))</f>
        <v>Home Furnishings</v>
      </c>
      <c r="H755" s="7" t="str">
        <f t="array" ref="H755">IF(ISBLANK(E755), "", INDEX(Categories!$B:$B,MATCH(E755,Categories!$A:$A,0)))</f>
        <v/>
      </c>
      <c r="I755" s="7" t="str">
        <f t="array" ref="I755">IF(ISBLANK(F755), "", INDEX(Categories!$B:$B,MATCH(F755,Categories!$A:$A,0)))</f>
        <v/>
      </c>
      <c r="J755" s="4"/>
      <c r="K755" s="4"/>
      <c r="L755" s="4"/>
      <c r="M755" s="4"/>
      <c r="N755" s="4"/>
      <c r="O755" s="4"/>
      <c r="P755" s="4"/>
      <c r="Q755" s="4"/>
    </row>
    <row r="756">
      <c r="A756" s="5">
        <v>755.0</v>
      </c>
      <c r="B756" s="5" t="s">
        <v>1020</v>
      </c>
      <c r="C756" s="5" t="s">
        <v>47</v>
      </c>
      <c r="D756" s="6">
        <f>IFERROR(__xludf.DUMMYFUNCTION("SPLIT(MID(C756,2,LEN(C756)-2), "","")"),546.0)</f>
        <v>546</v>
      </c>
      <c r="E756" s="7"/>
      <c r="F756" s="7"/>
      <c r="G756" s="2" t="str">
        <f t="array" ref="G756">IF(ISBLANK(D756), "", INDEX(Categories!$B:$B,MATCH(D756,Categories!$A:$A,0)))</f>
        <v>Cosmetics &amp; Perfumes Retail</v>
      </c>
      <c r="H756" s="7" t="str">
        <f t="array" ref="H756">IF(ISBLANK(E756), "", INDEX(Categories!$B:$B,MATCH(E756,Categories!$A:$A,0)))</f>
        <v/>
      </c>
      <c r="I756" s="7" t="str">
        <f t="array" ref="I756">IF(ISBLANK(F756), "", INDEX(Categories!$B:$B,MATCH(F756,Categories!$A:$A,0)))</f>
        <v/>
      </c>
      <c r="J756" s="4"/>
      <c r="K756" s="4"/>
      <c r="L756" s="4"/>
      <c r="M756" s="4"/>
      <c r="N756" s="4"/>
      <c r="O756" s="4"/>
      <c r="P756" s="4"/>
      <c r="Q756" s="4"/>
    </row>
    <row r="757">
      <c r="A757" s="5">
        <v>756.0</v>
      </c>
      <c r="B757" s="5" t="s">
        <v>1021</v>
      </c>
      <c r="C757" s="5" t="s">
        <v>368</v>
      </c>
      <c r="D757" s="6">
        <f>IFERROR(__xludf.DUMMYFUNCTION("SPLIT(MID(C757,2,LEN(C757)-2), "","")"),1000.0)</f>
        <v>1000</v>
      </c>
      <c r="E757" s="7"/>
      <c r="F757" s="7"/>
      <c r="G757" s="2" t="str">
        <f t="array" ref="G757">IF(ISBLANK(D757), "", INDEX(Categories!$B:$B,MATCH(D757,Categories!$A:$A,0)))</f>
        <v>Telephone Companies</v>
      </c>
      <c r="H757" s="7" t="str">
        <f t="array" ref="H757">IF(ISBLANK(E757), "", INDEX(Categories!$B:$B,MATCH(E757,Categories!$A:$A,0)))</f>
        <v/>
      </c>
      <c r="I757" s="7" t="str">
        <f t="array" ref="I757">IF(ISBLANK(F757), "", INDEX(Categories!$B:$B,MATCH(F757,Categories!$A:$A,0)))</f>
        <v/>
      </c>
      <c r="J757" s="4"/>
      <c r="K757" s="4"/>
      <c r="L757" s="4"/>
      <c r="M757" s="4"/>
      <c r="N757" s="4"/>
      <c r="O757" s="4"/>
      <c r="P757" s="4"/>
      <c r="Q757" s="4"/>
    </row>
    <row r="758">
      <c r="A758" s="5">
        <v>757.0</v>
      </c>
      <c r="B758" s="5" t="s">
        <v>1022</v>
      </c>
      <c r="C758" s="5" t="s">
        <v>1023</v>
      </c>
      <c r="D758" s="6">
        <f>IFERROR(__xludf.DUMMYFUNCTION("SPLIT(MID(C758,2,LEN(C758)-2), "","")"),1023.0)</f>
        <v>1023</v>
      </c>
      <c r="E758" s="7"/>
      <c r="F758" s="7"/>
      <c r="G758" s="2" t="str">
        <f t="array" ref="G758">IF(ISBLANK(D758), "", INDEX(Categories!$B:$B,MATCH(D758,Categories!$A:$A,0)))</f>
        <v>Security Service &amp; Systems</v>
      </c>
      <c r="H758" s="7" t="str">
        <f t="array" ref="H758">IF(ISBLANK(E758), "", INDEX(Categories!$B:$B,MATCH(E758,Categories!$A:$A,0)))</f>
        <v/>
      </c>
      <c r="I758" s="7" t="str">
        <f t="array" ref="I758">IF(ISBLANK(F758), "", INDEX(Categories!$B:$B,MATCH(F758,Categories!$A:$A,0)))</f>
        <v/>
      </c>
      <c r="J758" s="4"/>
      <c r="K758" s="4"/>
      <c r="L758" s="4"/>
      <c r="M758" s="4"/>
      <c r="N758" s="4"/>
      <c r="O758" s="4"/>
      <c r="P758" s="4"/>
      <c r="Q758" s="4"/>
    </row>
    <row r="759">
      <c r="A759" s="5">
        <v>758.0</v>
      </c>
      <c r="B759" s="5" t="s">
        <v>1024</v>
      </c>
      <c r="C759" s="5" t="s">
        <v>685</v>
      </c>
      <c r="D759" s="6">
        <f>IFERROR(__xludf.DUMMYFUNCTION("SPLIT(MID(C759,2,LEN(C759)-2), "","")"),2256.0)</f>
        <v>2256</v>
      </c>
      <c r="E759" s="7"/>
      <c r="F759" s="7"/>
      <c r="G759" s="2" t="str">
        <f t="array" ref="G759">IF(ISBLANK(D759), "", INDEX(Categories!$B:$B,MATCH(D759,Categories!$A:$A,0)))</f>
        <v>Elevators</v>
      </c>
      <c r="H759" s="7" t="str">
        <f t="array" ref="H759">IF(ISBLANK(E759), "", INDEX(Categories!$B:$B,MATCH(E759,Categories!$A:$A,0)))</f>
        <v/>
      </c>
      <c r="I759" s="7" t="str">
        <f t="array" ref="I759">IF(ISBLANK(F759), "", INDEX(Categories!$B:$B,MATCH(F759,Categories!$A:$A,0)))</f>
        <v/>
      </c>
      <c r="J759" s="4"/>
      <c r="K759" s="4"/>
      <c r="L759" s="4"/>
      <c r="M759" s="4"/>
      <c r="N759" s="4"/>
      <c r="O759" s="4"/>
      <c r="P759" s="4"/>
      <c r="Q759" s="4"/>
    </row>
    <row r="760">
      <c r="A760" s="5">
        <v>759.0</v>
      </c>
      <c r="B760" s="5" t="s">
        <v>1025</v>
      </c>
      <c r="C760" s="5" t="s">
        <v>364</v>
      </c>
      <c r="D760" s="6">
        <f>IFERROR(__xludf.DUMMYFUNCTION("SPLIT(MID(C760,2,LEN(C760)-2), "","")"),555.0)</f>
        <v>555</v>
      </c>
      <c r="E760" s="7"/>
      <c r="F760" s="7"/>
      <c r="G760" s="2" t="str">
        <f t="array" ref="G760">IF(ISBLANK(D760), "", INDEX(Categories!$B:$B,MATCH(D760,Categories!$A:$A,0)))</f>
        <v>Dry Cleaners</v>
      </c>
      <c r="H760" s="7" t="str">
        <f t="array" ref="H760">IF(ISBLANK(E760), "", INDEX(Categories!$B:$B,MATCH(E760,Categories!$A:$A,0)))</f>
        <v/>
      </c>
      <c r="I760" s="7" t="str">
        <f t="array" ref="I760">IF(ISBLANK(F760), "", INDEX(Categories!$B:$B,MATCH(F760,Categories!$A:$A,0)))</f>
        <v/>
      </c>
      <c r="J760" s="4"/>
      <c r="K760" s="4"/>
      <c r="L760" s="4"/>
      <c r="M760" s="4"/>
      <c r="N760" s="4"/>
      <c r="O760" s="4"/>
      <c r="P760" s="4"/>
      <c r="Q760" s="4"/>
    </row>
    <row r="761">
      <c r="A761" s="5">
        <v>760.0</v>
      </c>
      <c r="B761" s="5" t="s">
        <v>1026</v>
      </c>
      <c r="C761" s="5" t="s">
        <v>1027</v>
      </c>
      <c r="D761" s="6">
        <f>IFERROR(__xludf.DUMMYFUNCTION("SPLIT(MID(C761,2,LEN(C761)-2), "","")"),1286.0)</f>
        <v>1286</v>
      </c>
      <c r="E761" s="7"/>
      <c r="F761" s="7"/>
      <c r="G761" s="2" t="str">
        <f t="array" ref="G761">IF(ISBLANK(D761), "", INDEX(Categories!$B:$B,MATCH(D761,Categories!$A:$A,0)))</f>
        <v>Automobile - Body Repairs &amp; Painting</v>
      </c>
      <c r="H761" s="7" t="str">
        <f t="array" ref="H761">IF(ISBLANK(E761), "", INDEX(Categories!$B:$B,MATCH(E761,Categories!$A:$A,0)))</f>
        <v/>
      </c>
      <c r="I761" s="7" t="str">
        <f t="array" ref="I761">IF(ISBLANK(F761), "", INDEX(Categories!$B:$B,MATCH(F761,Categories!$A:$A,0)))</f>
        <v/>
      </c>
      <c r="J761" s="4"/>
      <c r="K761" s="4"/>
      <c r="L761" s="4"/>
      <c r="M761" s="4"/>
      <c r="N761" s="4"/>
      <c r="O761" s="4"/>
      <c r="P761" s="4"/>
      <c r="Q761" s="4"/>
    </row>
    <row r="762">
      <c r="A762" s="5">
        <v>761.0</v>
      </c>
      <c r="B762" s="5" t="s">
        <v>1028</v>
      </c>
      <c r="C762" s="5" t="s">
        <v>324</v>
      </c>
      <c r="D762" s="6">
        <f>IFERROR(__xludf.DUMMYFUNCTION("SPLIT(MID(C762,2,LEN(C762)-2), "","")"),290.0)</f>
        <v>290</v>
      </c>
      <c r="E762" s="7"/>
      <c r="F762" s="7"/>
      <c r="G762" s="2" t="str">
        <f t="array" ref="G762">IF(ISBLANK(D762), "", INDEX(Categories!$B:$B,MATCH(D762,Categories!$A:$A,0)))</f>
        <v>Banks &amp; Credit Unions</v>
      </c>
      <c r="H762" s="7" t="str">
        <f t="array" ref="H762">IF(ISBLANK(E762), "", INDEX(Categories!$B:$B,MATCH(E762,Categories!$A:$A,0)))</f>
        <v/>
      </c>
      <c r="I762" s="7" t="str">
        <f t="array" ref="I762">IF(ISBLANK(F762), "", INDEX(Categories!$B:$B,MATCH(F762,Categories!$A:$A,0)))</f>
        <v/>
      </c>
      <c r="J762" s="4"/>
      <c r="K762" s="4"/>
      <c r="L762" s="4"/>
      <c r="M762" s="4"/>
      <c r="N762" s="4"/>
      <c r="O762" s="4"/>
      <c r="P762" s="4"/>
      <c r="Q762" s="4"/>
    </row>
    <row r="763">
      <c r="A763" s="5">
        <v>762.0</v>
      </c>
      <c r="B763" s="5" t="s">
        <v>1029</v>
      </c>
      <c r="C763" s="5" t="s">
        <v>16</v>
      </c>
      <c r="D763" s="6">
        <f>IFERROR(__xludf.DUMMYFUNCTION("SPLIT(MID(C763,2,LEN(C763)-2), "","")"),51.0)</f>
        <v>51</v>
      </c>
      <c r="E763" s="7"/>
      <c r="F763" s="7"/>
      <c r="G763" s="2" t="str">
        <f t="array" ref="G763">IF(ISBLANK(D763), "", INDEX(Categories!$B:$B,MATCH(D763,Categories!$A:$A,0)))</f>
        <v>Automobile Parts &amp; Supplies</v>
      </c>
      <c r="H763" s="7" t="str">
        <f t="array" ref="H763">IF(ISBLANK(E763), "", INDEX(Categories!$B:$B,MATCH(E763,Categories!$A:$A,0)))</f>
        <v/>
      </c>
      <c r="I763" s="7" t="str">
        <f t="array" ref="I763">IF(ISBLANK(F763), "", INDEX(Categories!$B:$B,MATCH(F763,Categories!$A:$A,0)))</f>
        <v/>
      </c>
      <c r="J763" s="4"/>
      <c r="K763" s="4"/>
      <c r="L763" s="4"/>
      <c r="M763" s="4"/>
      <c r="N763" s="4"/>
      <c r="O763" s="4"/>
      <c r="P763" s="4"/>
      <c r="Q763" s="4"/>
    </row>
    <row r="764">
      <c r="A764" s="5">
        <v>763.0</v>
      </c>
      <c r="B764" s="5" t="s">
        <v>1030</v>
      </c>
      <c r="C764" s="5" t="s">
        <v>145</v>
      </c>
      <c r="D764" s="6">
        <f>IFERROR(__xludf.DUMMYFUNCTION("SPLIT(MID(C764,2,LEN(C764)-2), "","")"),476.0)</f>
        <v>476</v>
      </c>
      <c r="E764" s="7"/>
      <c r="F764" s="7"/>
      <c r="G764" s="2" t="str">
        <f t="array" ref="G764">IF(ISBLANK(D764), "", INDEX(Categories!$B:$B,MATCH(D764,Categories!$A:$A,0)))</f>
        <v>Automobile Oil &amp; Lubrication Services</v>
      </c>
      <c r="H764" s="7" t="str">
        <f t="array" ref="H764">IF(ISBLANK(E764), "", INDEX(Categories!$B:$B,MATCH(E764,Categories!$A:$A,0)))</f>
        <v/>
      </c>
      <c r="I764" s="7" t="str">
        <f t="array" ref="I764">IF(ISBLANK(F764), "", INDEX(Categories!$B:$B,MATCH(F764,Categories!$A:$A,0)))</f>
        <v/>
      </c>
      <c r="J764" s="4"/>
      <c r="K764" s="4"/>
      <c r="L764" s="4"/>
      <c r="M764" s="4"/>
      <c r="N764" s="4"/>
      <c r="O764" s="4"/>
      <c r="P764" s="4"/>
      <c r="Q764" s="4"/>
    </row>
    <row r="765">
      <c r="A765" s="5">
        <v>764.0</v>
      </c>
      <c r="B765" s="5" t="s">
        <v>1031</v>
      </c>
      <c r="C765" s="5" t="s">
        <v>111</v>
      </c>
      <c r="D765" s="6">
        <f>IFERROR(__xludf.DUMMYFUNCTION("SPLIT(MID(C765,2,LEN(C765)-2), "","")"),444.0)</f>
        <v>444</v>
      </c>
      <c r="E765" s="7"/>
      <c r="F765" s="7"/>
      <c r="G765" s="2" t="str">
        <f t="array" ref="G765">IF(ISBLANK(D765), "", INDEX(Categories!$B:$B,MATCH(D765,Categories!$A:$A,0)))</f>
        <v>Hair Salons &amp; Barbers</v>
      </c>
      <c r="H765" s="7" t="str">
        <f t="array" ref="H765">IF(ISBLANK(E765), "", INDEX(Categories!$B:$B,MATCH(E765,Categories!$A:$A,0)))</f>
        <v/>
      </c>
      <c r="I765" s="7" t="str">
        <f t="array" ref="I765">IF(ISBLANK(F765), "", INDEX(Categories!$B:$B,MATCH(F765,Categories!$A:$A,0)))</f>
        <v/>
      </c>
      <c r="J765" s="4"/>
      <c r="K765" s="4"/>
      <c r="L765" s="4"/>
      <c r="M765" s="4"/>
      <c r="N765" s="4"/>
      <c r="O765" s="4"/>
      <c r="P765" s="4"/>
      <c r="Q765" s="4"/>
    </row>
    <row r="766">
      <c r="A766" s="5">
        <v>765.0</v>
      </c>
      <c r="B766" s="5" t="s">
        <v>1032</v>
      </c>
      <c r="C766" s="5" t="s">
        <v>1033</v>
      </c>
      <c r="D766" s="6">
        <f>IFERROR(__xludf.DUMMYFUNCTION("SPLIT(MID(C766,2,LEN(C766)-2), "","")"),1411.0)</f>
        <v>1411</v>
      </c>
      <c r="E766" s="7"/>
      <c r="F766" s="7"/>
      <c r="G766" s="2" t="str">
        <f t="array" ref="G766">IF(ISBLANK(D766), "", INDEX(Categories!$B:$B,MATCH(D766,Categories!$A:$A,0)))</f>
        <v>Schools Beauty &amp; Barber</v>
      </c>
      <c r="H766" s="7" t="str">
        <f t="array" ref="H766">IF(ISBLANK(E766), "", INDEX(Categories!$B:$B,MATCH(E766,Categories!$A:$A,0)))</f>
        <v/>
      </c>
      <c r="I766" s="7" t="str">
        <f t="array" ref="I766">IF(ISBLANK(F766), "", INDEX(Categories!$B:$B,MATCH(F766,Categories!$A:$A,0)))</f>
        <v/>
      </c>
      <c r="J766" s="4"/>
      <c r="K766" s="4"/>
      <c r="L766" s="4"/>
      <c r="M766" s="4"/>
      <c r="N766" s="4"/>
      <c r="O766" s="4"/>
      <c r="P766" s="4"/>
      <c r="Q766" s="4"/>
    </row>
    <row r="767">
      <c r="A767" s="5">
        <v>766.0</v>
      </c>
      <c r="B767" s="5" t="s">
        <v>1034</v>
      </c>
      <c r="C767" s="5" t="s">
        <v>1035</v>
      </c>
      <c r="D767" s="6">
        <f>IFERROR(__xludf.DUMMYFUNCTION("SPLIT(MID(C767,2,LEN(C767)-2), "","")"),597.0)</f>
        <v>597</v>
      </c>
      <c r="E767" s="7"/>
      <c r="F767" s="7"/>
      <c r="G767" s="2" t="str">
        <f t="array" ref="G767">IF(ISBLANK(D767), "", INDEX(Categories!$B:$B,MATCH(D767,Categories!$A:$A,0)))</f>
        <v>Meat Markets</v>
      </c>
      <c r="H767" s="7" t="str">
        <f t="array" ref="H767">IF(ISBLANK(E767), "", INDEX(Categories!$B:$B,MATCH(E767,Categories!$A:$A,0)))</f>
        <v/>
      </c>
      <c r="I767" s="7" t="str">
        <f t="array" ref="I767">IF(ISBLANK(F767), "", INDEX(Categories!$B:$B,MATCH(F767,Categories!$A:$A,0)))</f>
        <v/>
      </c>
      <c r="J767" s="4"/>
      <c r="K767" s="4"/>
      <c r="L767" s="4"/>
      <c r="M767" s="4"/>
      <c r="N767" s="4"/>
      <c r="O767" s="4"/>
      <c r="P767" s="4"/>
      <c r="Q767" s="4"/>
    </row>
    <row r="768">
      <c r="A768" s="5">
        <v>767.0</v>
      </c>
      <c r="B768" s="5" t="s">
        <v>1036</v>
      </c>
      <c r="C768" s="5" t="s">
        <v>1035</v>
      </c>
      <c r="D768" s="6">
        <f>IFERROR(__xludf.DUMMYFUNCTION("SPLIT(MID(C768,2,LEN(C768)-2), "","")"),597.0)</f>
        <v>597</v>
      </c>
      <c r="E768" s="7"/>
      <c r="F768" s="7"/>
      <c r="G768" s="2" t="str">
        <f t="array" ref="G768">IF(ISBLANK(D768), "", INDEX(Categories!$B:$B,MATCH(D768,Categories!$A:$A,0)))</f>
        <v>Meat Markets</v>
      </c>
      <c r="H768" s="7" t="str">
        <f t="array" ref="H768">IF(ISBLANK(E768), "", INDEX(Categories!$B:$B,MATCH(E768,Categories!$A:$A,0)))</f>
        <v/>
      </c>
      <c r="I768" s="7" t="str">
        <f t="array" ref="I768">IF(ISBLANK(F768), "", INDEX(Categories!$B:$B,MATCH(F768,Categories!$A:$A,0)))</f>
        <v/>
      </c>
      <c r="J768" s="4"/>
      <c r="K768" s="4"/>
      <c r="L768" s="4"/>
      <c r="M768" s="4"/>
      <c r="N768" s="4"/>
      <c r="O768" s="4"/>
      <c r="P768" s="4"/>
      <c r="Q768" s="4"/>
    </row>
    <row r="769">
      <c r="A769" s="5">
        <v>768.0</v>
      </c>
      <c r="B769" s="5" t="s">
        <v>1037</v>
      </c>
      <c r="C769" s="5" t="s">
        <v>58</v>
      </c>
      <c r="D769" s="6">
        <f>IFERROR(__xludf.DUMMYFUNCTION("SPLIT(MID(C769,2,LEN(C769)-2), "","")"),1170.0)</f>
        <v>1170</v>
      </c>
      <c r="E769" s="7"/>
      <c r="F769" s="7"/>
      <c r="G769" s="2" t="str">
        <f t="array" ref="G769">IF(ISBLANK(D769), "", INDEX(Categories!$B:$B,MATCH(D769,Categories!$A:$A,0)))</f>
        <v>Gasoline Retail</v>
      </c>
      <c r="H769" s="7" t="str">
        <f t="array" ref="H769">IF(ISBLANK(E769), "", INDEX(Categories!$B:$B,MATCH(E769,Categories!$A:$A,0)))</f>
        <v/>
      </c>
      <c r="I769" s="7" t="str">
        <f t="array" ref="I769">IF(ISBLANK(F769), "", INDEX(Categories!$B:$B,MATCH(F769,Categories!$A:$A,0)))</f>
        <v/>
      </c>
      <c r="J769" s="4"/>
      <c r="K769" s="4"/>
      <c r="L769" s="4"/>
      <c r="M769" s="4"/>
      <c r="N769" s="4"/>
      <c r="O769" s="4"/>
      <c r="P769" s="4"/>
      <c r="Q769" s="4"/>
    </row>
    <row r="770">
      <c r="A770" s="5">
        <v>769.0</v>
      </c>
      <c r="B770" s="5" t="s">
        <v>1038</v>
      </c>
      <c r="C770" s="5" t="s">
        <v>1039</v>
      </c>
      <c r="D770" s="6">
        <f>IFERROR(__xludf.DUMMYFUNCTION("SPLIT(MID(C770,2,LEN(C770)-2), "","")"),1252.0)</f>
        <v>1252</v>
      </c>
      <c r="E770" s="7"/>
      <c r="F770" s="7"/>
      <c r="G770" s="2" t="str">
        <f t="array" ref="G770">IF(ISBLANK(D770), "", INDEX(Categories!$B:$B,MATCH(D770,Categories!$A:$A,0)))</f>
        <v>Hats</v>
      </c>
      <c r="H770" s="7" t="str">
        <f t="array" ref="H770">IF(ISBLANK(E770), "", INDEX(Categories!$B:$B,MATCH(E770,Categories!$A:$A,0)))</f>
        <v/>
      </c>
      <c r="I770" s="7" t="str">
        <f t="array" ref="I770">IF(ISBLANK(F770), "", INDEX(Categories!$B:$B,MATCH(F770,Categories!$A:$A,0)))</f>
        <v/>
      </c>
      <c r="J770" s="4"/>
      <c r="K770" s="4"/>
      <c r="L770" s="4"/>
      <c r="M770" s="4"/>
      <c r="N770" s="4"/>
      <c r="O770" s="4"/>
      <c r="P770" s="4"/>
      <c r="Q770" s="4"/>
    </row>
    <row r="771">
      <c r="A771" s="5">
        <v>770.0</v>
      </c>
      <c r="B771" s="5" t="s">
        <v>1040</v>
      </c>
      <c r="C771" s="5" t="s">
        <v>67</v>
      </c>
      <c r="D771" s="6">
        <f>IFERROR(__xludf.DUMMYFUNCTION("SPLIT(MID(C771,2,LEN(C771)-2), "","")"),1820.0)</f>
        <v>1820</v>
      </c>
      <c r="E771" s="7"/>
      <c r="F771" s="7"/>
      <c r="G771" s="2" t="str">
        <f t="array" ref="G771">IF(ISBLANK(D771), "", INDEX(Categories!$B:$B,MATCH(D771,Categories!$A:$A,0)))</f>
        <v>Real Estate - Property Management</v>
      </c>
      <c r="H771" s="7" t="str">
        <f t="array" ref="H771">IF(ISBLANK(E771), "", INDEX(Categories!$B:$B,MATCH(E771,Categories!$A:$A,0)))</f>
        <v/>
      </c>
      <c r="I771" s="7" t="str">
        <f t="array" ref="I771">IF(ISBLANK(F771), "", INDEX(Categories!$B:$B,MATCH(F771,Categories!$A:$A,0)))</f>
        <v/>
      </c>
      <c r="J771" s="4"/>
      <c r="K771" s="4"/>
      <c r="L771" s="4"/>
      <c r="M771" s="4"/>
      <c r="N771" s="4"/>
      <c r="O771" s="4"/>
      <c r="P771" s="4"/>
      <c r="Q771" s="4"/>
    </row>
    <row r="772">
      <c r="A772" s="5">
        <v>771.0</v>
      </c>
      <c r="B772" s="5" t="s">
        <v>1041</v>
      </c>
      <c r="C772" s="5" t="s">
        <v>1042</v>
      </c>
      <c r="D772" s="6">
        <f>IFERROR(__xludf.DUMMYFUNCTION("SPLIT(MID(C772,2,LEN(C772)-2), "","")"),1470.0)</f>
        <v>1470</v>
      </c>
      <c r="E772" s="7"/>
      <c r="F772" s="7"/>
      <c r="G772" s="2" t="str">
        <f t="array" ref="G772">IF(ISBLANK(D772), "", INDEX(Categories!$B:$B,MATCH(D772,Categories!$A:$A,0)))</f>
        <v>Armored Car Services</v>
      </c>
      <c r="H772" s="7" t="str">
        <f t="array" ref="H772">IF(ISBLANK(E772), "", INDEX(Categories!$B:$B,MATCH(E772,Categories!$A:$A,0)))</f>
        <v/>
      </c>
      <c r="I772" s="7" t="str">
        <f t="array" ref="I772">IF(ISBLANK(F772), "", INDEX(Categories!$B:$B,MATCH(F772,Categories!$A:$A,0)))</f>
        <v/>
      </c>
      <c r="J772" s="4"/>
      <c r="K772" s="4"/>
      <c r="L772" s="4"/>
      <c r="M772" s="4"/>
      <c r="N772" s="4"/>
      <c r="O772" s="4"/>
      <c r="P772" s="4"/>
      <c r="Q772" s="4"/>
    </row>
    <row r="773">
      <c r="A773" s="5">
        <v>772.0</v>
      </c>
      <c r="B773" s="5" t="s">
        <v>1043</v>
      </c>
      <c r="C773" s="5" t="s">
        <v>303</v>
      </c>
      <c r="D773" s="6">
        <f>IFERROR(__xludf.DUMMYFUNCTION("SPLIT(MID(C773,2,LEN(C773)-2), "","")"),1241.0)</f>
        <v>1241</v>
      </c>
      <c r="E773" s="7"/>
      <c r="F773" s="7"/>
      <c r="G773" s="2" t="str">
        <f t="array" ref="G773">IF(ISBLANK(D773), "", INDEX(Categories!$B:$B,MATCH(D773,Categories!$A:$A,0)))</f>
        <v>Clothing &amp; Accessories</v>
      </c>
      <c r="H773" s="7" t="str">
        <f t="array" ref="H773">IF(ISBLANK(E773), "", INDEX(Categories!$B:$B,MATCH(E773,Categories!$A:$A,0)))</f>
        <v/>
      </c>
      <c r="I773" s="7" t="str">
        <f t="array" ref="I773">IF(ISBLANK(F773), "", INDEX(Categories!$B:$B,MATCH(F773,Categories!$A:$A,0)))</f>
        <v/>
      </c>
      <c r="J773" s="4"/>
      <c r="K773" s="4"/>
      <c r="L773" s="4"/>
      <c r="M773" s="4"/>
      <c r="N773" s="4"/>
      <c r="O773" s="4"/>
      <c r="P773" s="4"/>
      <c r="Q773" s="4"/>
    </row>
    <row r="774">
      <c r="A774" s="5">
        <v>773.0</v>
      </c>
      <c r="B774" s="5" t="s">
        <v>1044</v>
      </c>
      <c r="C774" s="5" t="s">
        <v>1045</v>
      </c>
      <c r="D774" s="6">
        <f>IFERROR(__xludf.DUMMYFUNCTION("SPLIT(MID(C774,2,LEN(C774)-2), "","")"),349.0)</f>
        <v>349</v>
      </c>
      <c r="E774" s="7"/>
      <c r="F774" s="7"/>
      <c r="G774" s="2" t="str">
        <f t="array" ref="G774">IF(ISBLANK(D774), "", INDEX(Categories!$B:$B,MATCH(D774,Categories!$A:$A,0)))</f>
        <v>Contractors - Electrical</v>
      </c>
      <c r="H774" s="7" t="str">
        <f t="array" ref="H774">IF(ISBLANK(E774), "", INDEX(Categories!$B:$B,MATCH(E774,Categories!$A:$A,0)))</f>
        <v/>
      </c>
      <c r="I774" s="7" t="str">
        <f t="array" ref="I774">IF(ISBLANK(F774), "", INDEX(Categories!$B:$B,MATCH(F774,Categories!$A:$A,0)))</f>
        <v/>
      </c>
      <c r="J774" s="4"/>
      <c r="K774" s="4"/>
      <c r="L774" s="4"/>
      <c r="M774" s="4"/>
      <c r="N774" s="4"/>
      <c r="O774" s="4"/>
      <c r="P774" s="4"/>
      <c r="Q774" s="4"/>
    </row>
    <row r="775">
      <c r="A775" s="5">
        <v>774.0</v>
      </c>
      <c r="B775" s="5" t="s">
        <v>1046</v>
      </c>
      <c r="C775" s="5" t="s">
        <v>338</v>
      </c>
      <c r="D775" s="6">
        <f>IFERROR(__xludf.DUMMYFUNCTION("SPLIT(MID(C775,2,LEN(C775)-2), "","")"),244.0)</f>
        <v>244</v>
      </c>
      <c r="E775" s="7"/>
      <c r="F775" s="7"/>
      <c r="G775" s="2" t="str">
        <f t="array" ref="G775">IF(ISBLANK(D775), "", INDEX(Categories!$B:$B,MATCH(D775,Categories!$A:$A,0)))</f>
        <v>Office Services, Supplies &amp; Equipment</v>
      </c>
      <c r="H775" s="7" t="str">
        <f t="array" ref="H775">IF(ISBLANK(E775), "", INDEX(Categories!$B:$B,MATCH(E775,Categories!$A:$A,0)))</f>
        <v/>
      </c>
      <c r="I775" s="7" t="str">
        <f t="array" ref="I775">IF(ISBLANK(F775), "", INDEX(Categories!$B:$B,MATCH(F775,Categories!$A:$A,0)))</f>
        <v/>
      </c>
      <c r="J775" s="4"/>
      <c r="K775" s="4"/>
      <c r="L775" s="4"/>
      <c r="M775" s="4"/>
      <c r="N775" s="4"/>
      <c r="O775" s="4"/>
      <c r="P775" s="4"/>
      <c r="Q775" s="4"/>
    </row>
    <row r="776">
      <c r="A776" s="5">
        <v>775.0</v>
      </c>
      <c r="B776" s="5" t="s">
        <v>1047</v>
      </c>
      <c r="C776" s="5" t="s">
        <v>455</v>
      </c>
      <c r="D776" s="6">
        <f>IFERROR(__xludf.DUMMYFUNCTION("SPLIT(MID(C776,2,LEN(C776)-2), "","")"),985.0)</f>
        <v>985</v>
      </c>
      <c r="E776" s="7"/>
      <c r="F776" s="7"/>
      <c r="G776" s="2" t="str">
        <f t="array" ref="G776">IF(ISBLANK(D776), "", INDEX(Categories!$B:$B,MATCH(D776,Categories!$A:$A,0)))</f>
        <v>Paging Equipment &amp; Service</v>
      </c>
      <c r="H776" s="7" t="str">
        <f t="array" ref="H776">IF(ISBLANK(E776), "", INDEX(Categories!$B:$B,MATCH(E776,Categories!$A:$A,0)))</f>
        <v/>
      </c>
      <c r="I776" s="7" t="str">
        <f t="array" ref="I776">IF(ISBLANK(F776), "", INDEX(Categories!$B:$B,MATCH(F776,Categories!$A:$A,0)))</f>
        <v/>
      </c>
      <c r="J776" s="4"/>
      <c r="K776" s="4"/>
      <c r="L776" s="4"/>
      <c r="M776" s="4"/>
      <c r="N776" s="4"/>
      <c r="O776" s="4"/>
      <c r="P776" s="4"/>
      <c r="Q776" s="4"/>
    </row>
    <row r="777">
      <c r="A777" s="5">
        <v>776.0</v>
      </c>
      <c r="B777" s="5" t="s">
        <v>1048</v>
      </c>
      <c r="C777" s="5" t="s">
        <v>16</v>
      </c>
      <c r="D777" s="6">
        <f>IFERROR(__xludf.DUMMYFUNCTION("SPLIT(MID(C777,2,LEN(C777)-2), "","")"),51.0)</f>
        <v>51</v>
      </c>
      <c r="E777" s="7"/>
      <c r="F777" s="7"/>
      <c r="G777" s="2" t="str">
        <f t="array" ref="G777">IF(ISBLANK(D777), "", INDEX(Categories!$B:$B,MATCH(D777,Categories!$A:$A,0)))</f>
        <v>Automobile Parts &amp; Supplies</v>
      </c>
      <c r="H777" s="7" t="str">
        <f t="array" ref="H777">IF(ISBLANK(E777), "", INDEX(Categories!$B:$B,MATCH(E777,Categories!$A:$A,0)))</f>
        <v/>
      </c>
      <c r="I777" s="7" t="str">
        <f t="array" ref="I777">IF(ISBLANK(F777), "", INDEX(Categories!$B:$B,MATCH(F777,Categories!$A:$A,0)))</f>
        <v/>
      </c>
      <c r="J777" s="4"/>
      <c r="K777" s="4"/>
      <c r="L777" s="4"/>
      <c r="M777" s="4"/>
      <c r="N777" s="4"/>
      <c r="O777" s="4"/>
      <c r="P777" s="4"/>
      <c r="Q777" s="4"/>
    </row>
    <row r="778">
      <c r="A778" s="5">
        <v>777.0</v>
      </c>
      <c r="B778" s="5" t="s">
        <v>1049</v>
      </c>
      <c r="C778" s="5" t="s">
        <v>423</v>
      </c>
      <c r="D778" s="6">
        <f>IFERROR(__xludf.DUMMYFUNCTION("SPLIT(MID(C778,2,LEN(C778)-2), "","")"),1079.0)</f>
        <v>1079</v>
      </c>
      <c r="E778" s="7"/>
      <c r="F778" s="7"/>
      <c r="G778" s="2" t="str">
        <f t="array" ref="G778">IF(ISBLANK(D778), "", INDEX(Categories!$B:$B,MATCH(D778,Categories!$A:$A,0)))</f>
        <v>Rental Service Stores &amp; Yards</v>
      </c>
      <c r="H778" s="7" t="str">
        <f t="array" ref="H778">IF(ISBLANK(E778), "", INDEX(Categories!$B:$B,MATCH(E778,Categories!$A:$A,0)))</f>
        <v/>
      </c>
      <c r="I778" s="7" t="str">
        <f t="array" ref="I778">IF(ISBLANK(F778), "", INDEX(Categories!$B:$B,MATCH(F778,Categories!$A:$A,0)))</f>
        <v/>
      </c>
      <c r="J778" s="4"/>
      <c r="K778" s="4"/>
      <c r="L778" s="4"/>
      <c r="M778" s="4"/>
      <c r="N778" s="4"/>
      <c r="O778" s="4"/>
      <c r="P778" s="4"/>
      <c r="Q778" s="4"/>
    </row>
    <row r="779">
      <c r="A779" s="5">
        <v>778.0</v>
      </c>
      <c r="B779" s="5" t="s">
        <v>1050</v>
      </c>
      <c r="C779" s="5" t="s">
        <v>87</v>
      </c>
      <c r="D779" s="6">
        <f>IFERROR(__xludf.DUMMYFUNCTION("SPLIT(MID(C779,2,LEN(C779)-2), "","")"),168.0)</f>
        <v>168</v>
      </c>
      <c r="E779" s="7"/>
      <c r="F779" s="7"/>
      <c r="G779" s="2" t="str">
        <f t="array" ref="G779">IF(ISBLANK(D779), "", INDEX(Categories!$B:$B,MATCH(D779,Categories!$A:$A,0)))</f>
        <v>Hotels &amp; Motels</v>
      </c>
      <c r="H779" s="7" t="str">
        <f t="array" ref="H779">IF(ISBLANK(E779), "", INDEX(Categories!$B:$B,MATCH(E779,Categories!$A:$A,0)))</f>
        <v/>
      </c>
      <c r="I779" s="7" t="str">
        <f t="array" ref="I779">IF(ISBLANK(F779), "", INDEX(Categories!$B:$B,MATCH(F779,Categories!$A:$A,0)))</f>
        <v/>
      </c>
      <c r="J779" s="4"/>
      <c r="K779" s="4"/>
      <c r="L779" s="4"/>
      <c r="M779" s="4"/>
      <c r="N779" s="4"/>
      <c r="O779" s="4"/>
      <c r="P779" s="4"/>
      <c r="Q779" s="4"/>
    </row>
    <row r="780">
      <c r="A780" s="5">
        <v>779.0</v>
      </c>
      <c r="B780" s="5" t="s">
        <v>1051</v>
      </c>
      <c r="C780" s="5" t="s">
        <v>87</v>
      </c>
      <c r="D780" s="6">
        <f>IFERROR(__xludf.DUMMYFUNCTION("SPLIT(MID(C780,2,LEN(C780)-2), "","")"),168.0)</f>
        <v>168</v>
      </c>
      <c r="E780" s="7"/>
      <c r="F780" s="7"/>
      <c r="G780" s="2" t="str">
        <f t="array" ref="G780">IF(ISBLANK(D780), "", INDEX(Categories!$B:$B,MATCH(D780,Categories!$A:$A,0)))</f>
        <v>Hotels &amp; Motels</v>
      </c>
      <c r="H780" s="7" t="str">
        <f t="array" ref="H780">IF(ISBLANK(E780), "", INDEX(Categories!$B:$B,MATCH(E780,Categories!$A:$A,0)))</f>
        <v/>
      </c>
      <c r="I780" s="7" t="str">
        <f t="array" ref="I780">IF(ISBLANK(F780), "", INDEX(Categories!$B:$B,MATCH(F780,Categories!$A:$A,0)))</f>
        <v/>
      </c>
      <c r="J780" s="4"/>
      <c r="K780" s="4"/>
      <c r="L780" s="4"/>
      <c r="M780" s="4"/>
      <c r="N780" s="4"/>
      <c r="O780" s="4"/>
      <c r="P780" s="4"/>
      <c r="Q780" s="4"/>
    </row>
    <row r="781">
      <c r="A781" s="5">
        <v>780.0</v>
      </c>
      <c r="B781" s="5" t="s">
        <v>1052</v>
      </c>
      <c r="C781" s="5" t="s">
        <v>12</v>
      </c>
      <c r="D781" s="6">
        <f>IFERROR(__xludf.DUMMYFUNCTION("SPLIT(MID(C781,2,LEN(C781)-2), "","")"),469.0)</f>
        <v>469</v>
      </c>
      <c r="E781" s="7"/>
      <c r="F781" s="7"/>
      <c r="G781" s="2" t="str">
        <f t="array" ref="G781">IF(ISBLANK(D781), "", INDEX(Categories!$B:$B,MATCH(D781,Categories!$A:$A,0)))</f>
        <v>Automobile - Repairs &amp; Services</v>
      </c>
      <c r="H781" s="7" t="str">
        <f t="array" ref="H781">IF(ISBLANK(E781), "", INDEX(Categories!$B:$B,MATCH(E781,Categories!$A:$A,0)))</f>
        <v/>
      </c>
      <c r="I781" s="7" t="str">
        <f t="array" ref="I781">IF(ISBLANK(F781), "", INDEX(Categories!$B:$B,MATCH(F781,Categories!$A:$A,0)))</f>
        <v/>
      </c>
      <c r="J781" s="4"/>
      <c r="K781" s="4"/>
      <c r="L781" s="4"/>
      <c r="M781" s="4"/>
      <c r="N781" s="4"/>
      <c r="O781" s="4"/>
      <c r="P781" s="4"/>
      <c r="Q781" s="4"/>
    </row>
    <row r="782">
      <c r="A782" s="5">
        <v>781.0</v>
      </c>
      <c r="B782" s="5" t="s">
        <v>1053</v>
      </c>
      <c r="C782" s="5" t="s">
        <v>1054</v>
      </c>
      <c r="D782" s="6">
        <f>IFERROR(__xludf.DUMMYFUNCTION("SPLIT(MID(C782,2,LEN(C782)-2), "","")"),350.0)</f>
        <v>350</v>
      </c>
      <c r="E782" s="7"/>
      <c r="F782" s="7"/>
      <c r="G782" s="2" t="str">
        <f t="array" ref="G782">IF(ISBLANK(D782), "", INDEX(Categories!$B:$B,MATCH(D782,Categories!$A:$A,0)))</f>
        <v>Contractors Electric</v>
      </c>
      <c r="H782" s="7" t="str">
        <f t="array" ref="H782">IF(ISBLANK(E782), "", INDEX(Categories!$B:$B,MATCH(E782,Categories!$A:$A,0)))</f>
        <v/>
      </c>
      <c r="I782" s="7" t="str">
        <f t="array" ref="I782">IF(ISBLANK(F782), "", INDEX(Categories!$B:$B,MATCH(F782,Categories!$A:$A,0)))</f>
        <v/>
      </c>
      <c r="J782" s="4"/>
      <c r="K782" s="4"/>
      <c r="L782" s="4"/>
      <c r="M782" s="4"/>
      <c r="N782" s="4"/>
      <c r="O782" s="4"/>
      <c r="P782" s="4"/>
      <c r="Q782" s="4"/>
    </row>
    <row r="783">
      <c r="A783" s="5">
        <v>782.0</v>
      </c>
      <c r="B783" s="5" t="s">
        <v>1055</v>
      </c>
      <c r="C783" s="5" t="s">
        <v>1056</v>
      </c>
      <c r="D783" s="6">
        <f>IFERROR(__xludf.DUMMYFUNCTION("SPLIT(MID(C783,2,LEN(C783)-2), "","")"),2012.0)</f>
        <v>2012</v>
      </c>
      <c r="E783" s="7"/>
      <c r="F783" s="7"/>
      <c r="G783" s="2" t="str">
        <f t="array" ref="G783">IF(ISBLANK(D783), "", INDEX(Categories!$B:$B,MATCH(D783,Categories!$A:$A,0)))</f>
        <v>Packaging Materials</v>
      </c>
      <c r="H783" s="7" t="str">
        <f t="array" ref="H783">IF(ISBLANK(E783), "", INDEX(Categories!$B:$B,MATCH(E783,Categories!$A:$A,0)))</f>
        <v/>
      </c>
      <c r="I783" s="7" t="str">
        <f t="array" ref="I783">IF(ISBLANK(F783), "", INDEX(Categories!$B:$B,MATCH(F783,Categories!$A:$A,0)))</f>
        <v/>
      </c>
      <c r="J783" s="4"/>
      <c r="K783" s="4"/>
      <c r="L783" s="4"/>
      <c r="M783" s="4"/>
      <c r="N783" s="4"/>
      <c r="O783" s="4"/>
      <c r="P783" s="4"/>
      <c r="Q783" s="4"/>
    </row>
    <row r="784">
      <c r="A784" s="5">
        <v>783.0</v>
      </c>
      <c r="B784" s="5" t="s">
        <v>1057</v>
      </c>
      <c r="C784" s="5" t="s">
        <v>1058</v>
      </c>
      <c r="D784" s="6">
        <f>IFERROR(__xludf.DUMMYFUNCTION("SPLIT(MID(C784,2,LEN(C784)-2), "","")"),2416.0)</f>
        <v>2416</v>
      </c>
      <c r="E784" s="7"/>
      <c r="F784" s="7"/>
      <c r="G784" s="2" t="str">
        <f t="array" ref="G784">IF(ISBLANK(D784), "", INDEX(Categories!$B:$B,MATCH(D784,Categories!$A:$A,0)))</f>
        <v>Generators Electric</v>
      </c>
      <c r="H784" s="7" t="str">
        <f t="array" ref="H784">IF(ISBLANK(E784), "", INDEX(Categories!$B:$B,MATCH(E784,Categories!$A:$A,0)))</f>
        <v/>
      </c>
      <c r="I784" s="7" t="str">
        <f t="array" ref="I784">IF(ISBLANK(F784), "", INDEX(Categories!$B:$B,MATCH(F784,Categories!$A:$A,0)))</f>
        <v/>
      </c>
      <c r="J784" s="4"/>
      <c r="K784" s="4"/>
      <c r="L784" s="4"/>
      <c r="M784" s="4"/>
      <c r="N784" s="4"/>
      <c r="O784" s="4"/>
      <c r="P784" s="4"/>
      <c r="Q784" s="4"/>
    </row>
    <row r="785">
      <c r="A785" s="5">
        <v>784.0</v>
      </c>
      <c r="B785" s="5" t="s">
        <v>1059</v>
      </c>
      <c r="C785" s="5" t="s">
        <v>515</v>
      </c>
      <c r="D785" s="6">
        <f>IFERROR(__xludf.DUMMYFUNCTION("SPLIT(MID(C785,2,LEN(C785)-2), "","")"),2490.0)</f>
        <v>2490</v>
      </c>
      <c r="E785" s="7"/>
      <c r="F785" s="7"/>
      <c r="G785" s="2" t="str">
        <f t="array" ref="G785">IF(ISBLANK(D785), "", INDEX(Categories!$B:$B,MATCH(D785,Categories!$A:$A,0)))</f>
        <v>Labor Organizations</v>
      </c>
      <c r="H785" s="7" t="str">
        <f t="array" ref="H785">IF(ISBLANK(E785), "", INDEX(Categories!$B:$B,MATCH(E785,Categories!$A:$A,0)))</f>
        <v/>
      </c>
      <c r="I785" s="7" t="str">
        <f t="array" ref="I785">IF(ISBLANK(F785), "", INDEX(Categories!$B:$B,MATCH(F785,Categories!$A:$A,0)))</f>
        <v/>
      </c>
      <c r="J785" s="4"/>
      <c r="K785" s="4"/>
      <c r="L785" s="4"/>
      <c r="M785" s="4"/>
      <c r="N785" s="4"/>
      <c r="O785" s="4"/>
      <c r="P785" s="4"/>
      <c r="Q785" s="4"/>
    </row>
    <row r="786">
      <c r="A786" s="5">
        <v>785.0</v>
      </c>
      <c r="B786" s="5" t="s">
        <v>1060</v>
      </c>
      <c r="C786" s="5" t="s">
        <v>58</v>
      </c>
      <c r="D786" s="6">
        <f>IFERROR(__xludf.DUMMYFUNCTION("SPLIT(MID(C786,2,LEN(C786)-2), "","")"),1170.0)</f>
        <v>1170</v>
      </c>
      <c r="E786" s="7"/>
      <c r="F786" s="7"/>
      <c r="G786" s="2" t="str">
        <f t="array" ref="G786">IF(ISBLANK(D786), "", INDEX(Categories!$B:$B,MATCH(D786,Categories!$A:$A,0)))</f>
        <v>Gasoline Retail</v>
      </c>
      <c r="H786" s="7" t="str">
        <f t="array" ref="H786">IF(ISBLANK(E786), "", INDEX(Categories!$B:$B,MATCH(E786,Categories!$A:$A,0)))</f>
        <v/>
      </c>
      <c r="I786" s="7" t="str">
        <f t="array" ref="I786">IF(ISBLANK(F786), "", INDEX(Categories!$B:$B,MATCH(F786,Categories!$A:$A,0)))</f>
        <v/>
      </c>
      <c r="J786" s="4"/>
      <c r="K786" s="4"/>
      <c r="L786" s="4"/>
      <c r="M786" s="4"/>
      <c r="N786" s="4"/>
      <c r="O786" s="4"/>
      <c r="P786" s="4"/>
      <c r="Q786" s="4"/>
    </row>
    <row r="787">
      <c r="A787" s="5">
        <v>786.0</v>
      </c>
      <c r="B787" s="5" t="s">
        <v>1061</v>
      </c>
      <c r="C787" s="5" t="s">
        <v>18</v>
      </c>
      <c r="D787" s="6">
        <f>IFERROR(__xludf.DUMMYFUNCTION("SPLIT(MID(C787,2,LEN(C787)-2), "","")"),121.0)</f>
        <v>121</v>
      </c>
      <c r="E787" s="7"/>
      <c r="F787" s="7"/>
      <c r="G787" s="2" t="str">
        <f t="array" ref="G787">IF(ISBLANK(D787), "", INDEX(Categories!$B:$B,MATCH(D787,Categories!$A:$A,0)))</f>
        <v>Insurance</v>
      </c>
      <c r="H787" s="7" t="str">
        <f t="array" ref="H787">IF(ISBLANK(E787), "", INDEX(Categories!$B:$B,MATCH(E787,Categories!$A:$A,0)))</f>
        <v/>
      </c>
      <c r="I787" s="7" t="str">
        <f t="array" ref="I787">IF(ISBLANK(F787), "", INDEX(Categories!$B:$B,MATCH(F787,Categories!$A:$A,0)))</f>
        <v/>
      </c>
      <c r="J787" s="4"/>
      <c r="K787" s="4"/>
      <c r="L787" s="4"/>
      <c r="M787" s="4"/>
      <c r="N787" s="4"/>
      <c r="O787" s="4"/>
      <c r="P787" s="4"/>
      <c r="Q787" s="4"/>
    </row>
    <row r="788">
      <c r="A788" s="5">
        <v>787.0</v>
      </c>
      <c r="B788" s="5" t="s">
        <v>1062</v>
      </c>
      <c r="C788" s="5" t="s">
        <v>520</v>
      </c>
      <c r="D788" s="6">
        <f>IFERROR(__xludf.DUMMYFUNCTION("SPLIT(MID(C788,2,LEN(C788)-2), "","")"),1941.0)</f>
        <v>1941</v>
      </c>
      <c r="E788" s="7"/>
      <c r="F788" s="7"/>
      <c r="G788" s="2" t="str">
        <f t="array" ref="G788">IF(ISBLANK(D788), "", INDEX(Categories!$B:$B,MATCH(D788,Categories!$A:$A,0)))</f>
        <v>Electric Equipment &amp; Supplies Wholesale &amp; Manufacturers</v>
      </c>
      <c r="H788" s="7" t="str">
        <f t="array" ref="H788">IF(ISBLANK(E788), "", INDEX(Categories!$B:$B,MATCH(E788,Categories!$A:$A,0)))</f>
        <v/>
      </c>
      <c r="I788" s="7" t="str">
        <f t="array" ref="I788">IF(ISBLANK(F788), "", INDEX(Categories!$B:$B,MATCH(F788,Categories!$A:$A,0)))</f>
        <v/>
      </c>
      <c r="J788" s="4"/>
      <c r="K788" s="4"/>
      <c r="L788" s="4"/>
      <c r="M788" s="4"/>
      <c r="N788" s="4"/>
      <c r="O788" s="4"/>
      <c r="P788" s="4"/>
      <c r="Q788" s="4"/>
    </row>
    <row r="789">
      <c r="A789" s="5">
        <v>788.0</v>
      </c>
      <c r="B789" s="5" t="s">
        <v>1063</v>
      </c>
      <c r="C789" s="5" t="s">
        <v>1064</v>
      </c>
      <c r="D789" s="6">
        <f>IFERROR(__xludf.DUMMYFUNCTION("SPLIT(MID(C789,2,LEN(C789)-2), "","")"),952.0)</f>
        <v>952</v>
      </c>
      <c r="E789" s="7"/>
      <c r="F789" s="7"/>
      <c r="G789" s="2" t="str">
        <f t="array" ref="G789">IF(ISBLANK(D789), "", INDEX(Categories!$B:$B,MATCH(D789,Categories!$A:$A,0)))</f>
        <v>Paper Products Wholesale &amp; Manufacturers</v>
      </c>
      <c r="H789" s="7" t="str">
        <f t="array" ref="H789">IF(ISBLANK(E789), "", INDEX(Categories!$B:$B,MATCH(E789,Categories!$A:$A,0)))</f>
        <v/>
      </c>
      <c r="I789" s="7" t="str">
        <f t="array" ref="I789">IF(ISBLANK(F789), "", INDEX(Categories!$B:$B,MATCH(F789,Categories!$A:$A,0)))</f>
        <v/>
      </c>
      <c r="J789" s="4"/>
      <c r="K789" s="4"/>
      <c r="L789" s="4"/>
      <c r="M789" s="4"/>
      <c r="N789" s="4"/>
      <c r="O789" s="4"/>
      <c r="P789" s="4"/>
      <c r="Q789" s="4"/>
    </row>
    <row r="790">
      <c r="A790" s="5">
        <v>789.0</v>
      </c>
      <c r="B790" s="5" t="s">
        <v>1065</v>
      </c>
      <c r="C790" s="5" t="s">
        <v>104</v>
      </c>
      <c r="D790" s="6">
        <f>IFERROR(__xludf.DUMMYFUNCTION("SPLIT(MID(C790,2,LEN(C790)-2), "","")"),1327.0)</f>
        <v>1327</v>
      </c>
      <c r="E790" s="7"/>
      <c r="F790" s="7"/>
      <c r="G790" s="2" t="str">
        <f t="array" ref="G790">IF(ISBLANK(D790), "", INDEX(Categories!$B:$B,MATCH(D790,Categories!$A:$A,0)))</f>
        <v>Investments Securities</v>
      </c>
      <c r="H790" s="7" t="str">
        <f t="array" ref="H790">IF(ISBLANK(E790), "", INDEX(Categories!$B:$B,MATCH(E790,Categories!$A:$A,0)))</f>
        <v/>
      </c>
      <c r="I790" s="7" t="str">
        <f t="array" ref="I790">IF(ISBLANK(F790), "", INDEX(Categories!$B:$B,MATCH(F790,Categories!$A:$A,0)))</f>
        <v/>
      </c>
      <c r="J790" s="4"/>
      <c r="K790" s="4"/>
      <c r="L790" s="4"/>
      <c r="M790" s="4"/>
      <c r="N790" s="4"/>
      <c r="O790" s="4"/>
      <c r="P790" s="4"/>
      <c r="Q790" s="4"/>
    </row>
    <row r="791">
      <c r="A791" s="5">
        <v>790.0</v>
      </c>
      <c r="B791" s="5" t="s">
        <v>1066</v>
      </c>
      <c r="C791" s="5" t="s">
        <v>43</v>
      </c>
      <c r="D791" s="6">
        <f>IFERROR(__xludf.DUMMYFUNCTION("SPLIT(MID(C791,2,LEN(C791)-2), "","")"),292.0)</f>
        <v>292</v>
      </c>
      <c r="E791" s="7"/>
      <c r="F791" s="7"/>
      <c r="G791" s="2" t="str">
        <f t="array" ref="G791">IF(ISBLANK(D791), "", INDEX(Categories!$B:$B,MATCH(D791,Categories!$A:$A,0)))</f>
        <v>Banks</v>
      </c>
      <c r="H791" s="7" t="str">
        <f t="array" ref="H791">IF(ISBLANK(E791), "", INDEX(Categories!$B:$B,MATCH(E791,Categories!$A:$A,0)))</f>
        <v/>
      </c>
      <c r="I791" s="7" t="str">
        <f t="array" ref="I791">IF(ISBLANK(F791), "", INDEX(Categories!$B:$B,MATCH(F791,Categories!$A:$A,0)))</f>
        <v/>
      </c>
      <c r="J791" s="4"/>
      <c r="K791" s="4"/>
      <c r="L791" s="4"/>
      <c r="M791" s="4"/>
      <c r="N791" s="4"/>
      <c r="O791" s="4"/>
      <c r="P791" s="4"/>
      <c r="Q791" s="4"/>
    </row>
    <row r="792">
      <c r="A792" s="5">
        <v>791.0</v>
      </c>
      <c r="B792" s="5" t="s">
        <v>1067</v>
      </c>
      <c r="C792" s="5" t="s">
        <v>34</v>
      </c>
      <c r="D792" s="6">
        <f>IFERROR(__xludf.DUMMYFUNCTION("SPLIT(MID(C792,2,LEN(C792)-2), "","")"),228.0)</f>
        <v>228</v>
      </c>
      <c r="E792" s="7"/>
      <c r="F792" s="7"/>
      <c r="G792" s="2" t="str">
        <f t="array" ref="G792">IF(ISBLANK(D792), "", INDEX(Categories!$B:$B,MATCH(D792,Categories!$A:$A,0)))</f>
        <v>Restaurants</v>
      </c>
      <c r="H792" s="7" t="str">
        <f t="array" ref="H792">IF(ISBLANK(E792), "", INDEX(Categories!$B:$B,MATCH(E792,Categories!$A:$A,0)))</f>
        <v/>
      </c>
      <c r="I792" s="7" t="str">
        <f t="array" ref="I792">IF(ISBLANK(F792), "", INDEX(Categories!$B:$B,MATCH(F792,Categories!$A:$A,0)))</f>
        <v/>
      </c>
      <c r="J792" s="4"/>
      <c r="K792" s="4"/>
      <c r="L792" s="4"/>
      <c r="M792" s="4"/>
      <c r="N792" s="4"/>
      <c r="O792" s="4"/>
      <c r="P792" s="4"/>
      <c r="Q792" s="4"/>
    </row>
    <row r="793">
      <c r="A793" s="5">
        <v>792.0</v>
      </c>
      <c r="B793" s="5" t="s">
        <v>1068</v>
      </c>
      <c r="C793" s="5" t="s">
        <v>491</v>
      </c>
      <c r="D793" s="6">
        <f>IFERROR(__xludf.DUMMYFUNCTION("SPLIT(MID(C793,2,LEN(C793)-2), "","")"),692.0)</f>
        <v>692</v>
      </c>
      <c r="E793" s="7"/>
      <c r="F793" s="7"/>
      <c r="G793" s="2" t="str">
        <f t="array" ref="G793">IF(ISBLANK(D793), "", INDEX(Categories!$B:$B,MATCH(D793,Categories!$A:$A,0)))</f>
        <v>Greeting Cards Retail</v>
      </c>
      <c r="H793" s="7" t="str">
        <f t="array" ref="H793">IF(ISBLANK(E793), "", INDEX(Categories!$B:$B,MATCH(E793,Categories!$A:$A,0)))</f>
        <v/>
      </c>
      <c r="I793" s="7" t="str">
        <f t="array" ref="I793">IF(ISBLANK(F793), "", INDEX(Categories!$B:$B,MATCH(F793,Categories!$A:$A,0)))</f>
        <v/>
      </c>
      <c r="J793" s="4"/>
      <c r="K793" s="4"/>
      <c r="L793" s="4"/>
      <c r="M793" s="4"/>
      <c r="N793" s="4"/>
      <c r="O793" s="4"/>
      <c r="P793" s="4"/>
      <c r="Q793" s="4"/>
    </row>
    <row r="794">
      <c r="A794" s="5">
        <v>793.0</v>
      </c>
      <c r="B794" s="5" t="s">
        <v>1069</v>
      </c>
      <c r="C794" s="5" t="s">
        <v>1070</v>
      </c>
      <c r="D794" s="6">
        <f>IFERROR(__xludf.DUMMYFUNCTION("SPLIT(MID(C794,2,LEN(C794)-2), "","")"),493.0)</f>
        <v>493</v>
      </c>
      <c r="E794" s="7"/>
      <c r="F794" s="7"/>
      <c r="G794" s="2" t="str">
        <f t="array" ref="G794">IF(ISBLANK(D794), "", INDEX(Categories!$B:$B,MATCH(D794,Categories!$A:$A,0)))</f>
        <v>Emission Inspections</v>
      </c>
      <c r="H794" s="7" t="str">
        <f t="array" ref="H794">IF(ISBLANK(E794), "", INDEX(Categories!$B:$B,MATCH(E794,Categories!$A:$A,0)))</f>
        <v/>
      </c>
      <c r="I794" s="7" t="str">
        <f t="array" ref="I794">IF(ISBLANK(F794), "", INDEX(Categories!$B:$B,MATCH(F794,Categories!$A:$A,0)))</f>
        <v/>
      </c>
      <c r="J794" s="4"/>
      <c r="K794" s="4"/>
      <c r="L794" s="4"/>
      <c r="M794" s="4"/>
      <c r="N794" s="4"/>
      <c r="O794" s="4"/>
      <c r="P794" s="4"/>
      <c r="Q794" s="4"/>
    </row>
    <row r="795">
      <c r="A795" s="5">
        <v>794.0</v>
      </c>
      <c r="B795" s="5" t="s">
        <v>1071</v>
      </c>
      <c r="C795" s="5" t="s">
        <v>115</v>
      </c>
      <c r="D795" s="6">
        <f>IFERROR(__xludf.DUMMYFUNCTION("SPLIT(MID(C795,2,LEN(C795)-2), "","")"),1272.0)</f>
        <v>1272</v>
      </c>
      <c r="E795" s="7"/>
      <c r="F795" s="7"/>
      <c r="G795" s="2" t="str">
        <f t="array" ref="G795">IF(ISBLANK(D795), "", INDEX(Categories!$B:$B,MATCH(D795,Categories!$A:$A,0)))</f>
        <v>Womens Apparel</v>
      </c>
      <c r="H795" s="7" t="str">
        <f t="array" ref="H795">IF(ISBLANK(E795), "", INDEX(Categories!$B:$B,MATCH(E795,Categories!$A:$A,0)))</f>
        <v/>
      </c>
      <c r="I795" s="7" t="str">
        <f t="array" ref="I795">IF(ISBLANK(F795), "", INDEX(Categories!$B:$B,MATCH(F795,Categories!$A:$A,0)))</f>
        <v/>
      </c>
      <c r="J795" s="4"/>
      <c r="K795" s="4"/>
      <c r="L795" s="4"/>
      <c r="M795" s="4"/>
      <c r="N795" s="4"/>
      <c r="O795" s="4"/>
      <c r="P795" s="4"/>
      <c r="Q795" s="4"/>
    </row>
    <row r="796">
      <c r="A796" s="5">
        <v>795.0</v>
      </c>
      <c r="B796" s="5" t="s">
        <v>1072</v>
      </c>
      <c r="C796" s="5" t="s">
        <v>170</v>
      </c>
      <c r="D796" s="6">
        <f>IFERROR(__xludf.DUMMYFUNCTION("SPLIT(MID(C796,2,LEN(C796)-2), "","")"),189.0)</f>
        <v>189</v>
      </c>
      <c r="E796" s="7"/>
      <c r="F796" s="7"/>
      <c r="G796" s="2" t="str">
        <f t="array" ref="G796">IF(ISBLANK(D796), "", INDEX(Categories!$B:$B,MATCH(D796,Categories!$A:$A,0)))</f>
        <v>Pharmacies</v>
      </c>
      <c r="H796" s="7" t="str">
        <f t="array" ref="H796">IF(ISBLANK(E796), "", INDEX(Categories!$B:$B,MATCH(E796,Categories!$A:$A,0)))</f>
        <v/>
      </c>
      <c r="I796" s="7" t="str">
        <f t="array" ref="I796">IF(ISBLANK(F796), "", INDEX(Categories!$B:$B,MATCH(F796,Categories!$A:$A,0)))</f>
        <v/>
      </c>
      <c r="J796" s="4"/>
      <c r="K796" s="4"/>
      <c r="L796" s="4"/>
      <c r="M796" s="4"/>
      <c r="N796" s="4"/>
      <c r="O796" s="4"/>
      <c r="P796" s="4"/>
      <c r="Q796" s="4"/>
    </row>
    <row r="797">
      <c r="A797" s="5">
        <v>796.0</v>
      </c>
      <c r="B797" s="5" t="s">
        <v>1073</v>
      </c>
      <c r="C797" s="5" t="s">
        <v>38</v>
      </c>
      <c r="D797" s="6">
        <f>IFERROR(__xludf.DUMMYFUNCTION("SPLIT(MID(C797,2,LEN(C797)-2), "","")"),933.0)</f>
        <v>933</v>
      </c>
      <c r="E797" s="7"/>
      <c r="F797" s="7"/>
      <c r="G797" s="2" t="str">
        <f t="array" ref="G797">IF(ISBLANK(D797), "", INDEX(Categories!$B:$B,MATCH(D797,Categories!$A:$A,0)))</f>
        <v>Loans &amp; Mortgages</v>
      </c>
      <c r="H797" s="7" t="str">
        <f t="array" ref="H797">IF(ISBLANK(E797), "", INDEX(Categories!$B:$B,MATCH(E797,Categories!$A:$A,0)))</f>
        <v/>
      </c>
      <c r="I797" s="7" t="str">
        <f t="array" ref="I797">IF(ISBLANK(F797), "", INDEX(Categories!$B:$B,MATCH(F797,Categories!$A:$A,0)))</f>
        <v/>
      </c>
      <c r="J797" s="4"/>
      <c r="K797" s="4"/>
      <c r="L797" s="4"/>
      <c r="M797" s="4"/>
      <c r="N797" s="4"/>
      <c r="O797" s="4"/>
      <c r="P797" s="4"/>
      <c r="Q797" s="4"/>
    </row>
    <row r="798">
      <c r="A798" s="5">
        <v>797.0</v>
      </c>
      <c r="B798" s="5" t="s">
        <v>1074</v>
      </c>
      <c r="C798" s="5" t="s">
        <v>307</v>
      </c>
      <c r="D798" s="6">
        <f>IFERROR(__xludf.DUMMYFUNCTION("SPLIT(MID(C798,2,LEN(C798)-2), "","")"),241.0)</f>
        <v>241</v>
      </c>
      <c r="E798" s="7"/>
      <c r="F798" s="7"/>
      <c r="G798" s="2" t="str">
        <f t="array" ref="G798">IF(ISBLANK(D798), "", INDEX(Categories!$B:$B,MATCH(D798,Categories!$A:$A,0)))</f>
        <v>Restaurants Mexican</v>
      </c>
      <c r="H798" s="7" t="str">
        <f t="array" ref="H798">IF(ISBLANK(E798), "", INDEX(Categories!$B:$B,MATCH(E798,Categories!$A:$A,0)))</f>
        <v/>
      </c>
      <c r="I798" s="7" t="str">
        <f t="array" ref="I798">IF(ISBLANK(F798), "", INDEX(Categories!$B:$B,MATCH(F798,Categories!$A:$A,0)))</f>
        <v/>
      </c>
      <c r="J798" s="4"/>
      <c r="K798" s="4"/>
      <c r="L798" s="4"/>
      <c r="M798" s="4"/>
      <c r="N798" s="4"/>
      <c r="O798" s="4"/>
      <c r="P798" s="4"/>
      <c r="Q798" s="4"/>
    </row>
    <row r="799">
      <c r="A799" s="5">
        <v>798.0</v>
      </c>
      <c r="B799" s="5" t="s">
        <v>1075</v>
      </c>
      <c r="C799" s="5" t="s">
        <v>65</v>
      </c>
      <c r="D799" s="6">
        <f>IFERROR(__xludf.DUMMYFUNCTION("SPLIT(MID(C799,2,LEN(C799)-2), "","")"),983.0)</f>
        <v>983</v>
      </c>
      <c r="E799" s="7"/>
      <c r="F799" s="7"/>
      <c r="G799" s="2" t="str">
        <f t="array" ref="G799">IF(ISBLANK(D799), "", INDEX(Categories!$B:$B,MATCH(D799,Categories!$A:$A,0)))</f>
        <v>Mobile Telephone Service</v>
      </c>
      <c r="H799" s="7" t="str">
        <f t="array" ref="H799">IF(ISBLANK(E799), "", INDEX(Categories!$B:$B,MATCH(E799,Categories!$A:$A,0)))</f>
        <v/>
      </c>
      <c r="I799" s="7" t="str">
        <f t="array" ref="I799">IF(ISBLANK(F799), "", INDEX(Categories!$B:$B,MATCH(F799,Categories!$A:$A,0)))</f>
        <v/>
      </c>
      <c r="J799" s="4"/>
      <c r="K799" s="4"/>
      <c r="L799" s="4"/>
      <c r="M799" s="4"/>
      <c r="N799" s="4"/>
      <c r="O799" s="4"/>
      <c r="P799" s="4"/>
      <c r="Q799" s="4"/>
    </row>
    <row r="800">
      <c r="A800" s="5">
        <v>799.0</v>
      </c>
      <c r="B800" s="5" t="s">
        <v>1076</v>
      </c>
      <c r="C800" s="5" t="s">
        <v>53</v>
      </c>
      <c r="D800" s="6">
        <f>IFERROR(__xludf.DUMMYFUNCTION("SPLIT(MID(C800,2,LEN(C800)-2), "","")"),714.0)</f>
        <v>714</v>
      </c>
      <c r="E800" s="7"/>
      <c r="F800" s="7"/>
      <c r="G800" s="2" t="str">
        <f t="array" ref="G800">IF(ISBLANK(D800), "", INDEX(Categories!$B:$B,MATCH(D800,Categories!$A:$A,0)))</f>
        <v>Tax Return Preparation &amp; Filing</v>
      </c>
      <c r="H800" s="7" t="str">
        <f t="array" ref="H800">IF(ISBLANK(E800), "", INDEX(Categories!$B:$B,MATCH(E800,Categories!$A:$A,0)))</f>
        <v/>
      </c>
      <c r="I800" s="7" t="str">
        <f t="array" ref="I800">IF(ISBLANK(F800), "", INDEX(Categories!$B:$B,MATCH(F800,Categories!$A:$A,0)))</f>
        <v/>
      </c>
      <c r="J800" s="4"/>
      <c r="K800" s="4"/>
      <c r="L800" s="4"/>
      <c r="M800" s="4"/>
      <c r="N800" s="4"/>
      <c r="O800" s="4"/>
      <c r="P800" s="4"/>
      <c r="Q800" s="4"/>
    </row>
    <row r="801">
      <c r="A801" s="5">
        <v>800.0</v>
      </c>
      <c r="B801" s="5" t="s">
        <v>1077</v>
      </c>
      <c r="C801" s="5" t="s">
        <v>139</v>
      </c>
      <c r="D801" s="6">
        <f>IFERROR(__xludf.DUMMYFUNCTION("SPLIT(MID(C801,2,LEN(C801)-2), "","")"),1617.0)</f>
        <v>1617</v>
      </c>
      <c r="E801" s="7"/>
      <c r="F801" s="7"/>
      <c r="G801" s="2" t="str">
        <f t="array" ref="G801">IF(ISBLANK(D801), "", INDEX(Categories!$B:$B,MATCH(D801,Categories!$A:$A,0)))</f>
        <v>Department Stores</v>
      </c>
      <c r="H801" s="7" t="str">
        <f t="array" ref="H801">IF(ISBLANK(E801), "", INDEX(Categories!$B:$B,MATCH(E801,Categories!$A:$A,0)))</f>
        <v/>
      </c>
      <c r="I801" s="7" t="str">
        <f t="array" ref="I801">IF(ISBLANK(F801), "", INDEX(Categories!$B:$B,MATCH(F801,Categories!$A:$A,0)))</f>
        <v/>
      </c>
      <c r="J801" s="4"/>
      <c r="K801" s="4"/>
      <c r="L801" s="4"/>
      <c r="M801" s="4"/>
      <c r="N801" s="4"/>
      <c r="O801" s="4"/>
      <c r="P801" s="4"/>
      <c r="Q801" s="4"/>
    </row>
    <row r="802">
      <c r="A802" s="5">
        <v>801.0</v>
      </c>
      <c r="B802" s="5" t="s">
        <v>1078</v>
      </c>
      <c r="C802" s="5" t="s">
        <v>111</v>
      </c>
      <c r="D802" s="6">
        <f>IFERROR(__xludf.DUMMYFUNCTION("SPLIT(MID(C802,2,LEN(C802)-2), "","")"),444.0)</f>
        <v>444</v>
      </c>
      <c r="E802" s="7"/>
      <c r="F802" s="7"/>
      <c r="G802" s="2" t="str">
        <f t="array" ref="G802">IF(ISBLANK(D802), "", INDEX(Categories!$B:$B,MATCH(D802,Categories!$A:$A,0)))</f>
        <v>Hair Salons &amp; Barbers</v>
      </c>
      <c r="H802" s="7" t="str">
        <f t="array" ref="H802">IF(ISBLANK(E802), "", INDEX(Categories!$B:$B,MATCH(E802,Categories!$A:$A,0)))</f>
        <v/>
      </c>
      <c r="I802" s="7" t="str">
        <f t="array" ref="I802">IF(ISBLANK(F802), "", INDEX(Categories!$B:$B,MATCH(F802,Categories!$A:$A,0)))</f>
        <v/>
      </c>
      <c r="J802" s="4"/>
      <c r="K802" s="4"/>
      <c r="L802" s="4"/>
      <c r="M802" s="4"/>
      <c r="N802" s="4"/>
      <c r="O802" s="4"/>
      <c r="P802" s="4"/>
      <c r="Q802" s="4"/>
    </row>
    <row r="803">
      <c r="A803" s="5">
        <v>802.0</v>
      </c>
      <c r="B803" s="5" t="s">
        <v>1079</v>
      </c>
      <c r="C803" s="5" t="s">
        <v>725</v>
      </c>
      <c r="D803" s="6">
        <f>IFERROR(__xludf.DUMMYFUNCTION("SPLIT(MID(C803,2,LEN(C803)-2), "","")"),863.0)</f>
        <v>863</v>
      </c>
      <c r="E803" s="7"/>
      <c r="F803" s="7"/>
      <c r="G803" s="2" t="str">
        <f t="array" ref="G803">IF(ISBLANK(D803), "", INDEX(Categories!$B:$B,MATCH(D803,Categories!$A:$A,0)))</f>
        <v>Compact Discs Cassette Tapes &amp; Records</v>
      </c>
      <c r="H803" s="7" t="str">
        <f t="array" ref="H803">IF(ISBLANK(E803), "", INDEX(Categories!$B:$B,MATCH(E803,Categories!$A:$A,0)))</f>
        <v/>
      </c>
      <c r="I803" s="7" t="str">
        <f t="array" ref="I803">IF(ISBLANK(F803), "", INDEX(Categories!$B:$B,MATCH(F803,Categories!$A:$A,0)))</f>
        <v/>
      </c>
      <c r="J803" s="4"/>
      <c r="K803" s="4"/>
      <c r="L803" s="4"/>
      <c r="M803" s="4"/>
      <c r="N803" s="4"/>
      <c r="O803" s="4"/>
      <c r="P803" s="4"/>
      <c r="Q803" s="4"/>
    </row>
    <row r="804">
      <c r="A804" s="5">
        <v>803.0</v>
      </c>
      <c r="B804" s="5" t="s">
        <v>1080</v>
      </c>
      <c r="C804" s="5" t="s">
        <v>1081</v>
      </c>
      <c r="D804" s="6">
        <f>IFERROR(__xludf.DUMMYFUNCTION("SPLIT(MID(C804,2,LEN(C804)-2), "","")"),18.0)</f>
        <v>18</v>
      </c>
      <c r="E804" s="7"/>
      <c r="F804" s="7"/>
      <c r="G804" s="2" t="str">
        <f t="array" ref="G804">IF(ISBLANK(D804), "", INDEX(Categories!$B:$B,MATCH(D804,Categories!$A:$A,0)))</f>
        <v>Furniture</v>
      </c>
      <c r="H804" s="7" t="str">
        <f t="array" ref="H804">IF(ISBLANK(E804), "", INDEX(Categories!$B:$B,MATCH(E804,Categories!$A:$A,0)))</f>
        <v/>
      </c>
      <c r="I804" s="7" t="str">
        <f t="array" ref="I804">IF(ISBLANK(F804), "", INDEX(Categories!$B:$B,MATCH(F804,Categories!$A:$A,0)))</f>
        <v/>
      </c>
      <c r="J804" s="4"/>
      <c r="K804" s="4"/>
      <c r="L804" s="4"/>
      <c r="M804" s="4"/>
      <c r="N804" s="4"/>
      <c r="O804" s="4"/>
      <c r="P804" s="4"/>
      <c r="Q804" s="4"/>
    </row>
    <row r="805">
      <c r="A805" s="5">
        <v>804.0</v>
      </c>
      <c r="B805" s="5" t="s">
        <v>1082</v>
      </c>
      <c r="C805" s="5" t="s">
        <v>522</v>
      </c>
      <c r="D805" s="6">
        <f>IFERROR(__xludf.DUMMYFUNCTION("SPLIT(MID(C805,2,LEN(C805)-2), "","")"),683.0)</f>
        <v>683</v>
      </c>
      <c r="E805" s="7"/>
      <c r="F805" s="7"/>
      <c r="G805" s="2" t="str">
        <f t="array" ref="G805">IF(ISBLANK(D805), "", INDEX(Categories!$B:$B,MATCH(D805,Categories!$A:$A,0)))</f>
        <v>Bakeries</v>
      </c>
      <c r="H805" s="7" t="str">
        <f t="array" ref="H805">IF(ISBLANK(E805), "", INDEX(Categories!$B:$B,MATCH(E805,Categories!$A:$A,0)))</f>
        <v/>
      </c>
      <c r="I805" s="7" t="str">
        <f t="array" ref="I805">IF(ISBLANK(F805), "", INDEX(Categories!$B:$B,MATCH(F805,Categories!$A:$A,0)))</f>
        <v/>
      </c>
      <c r="J805" s="4"/>
      <c r="K805" s="4"/>
      <c r="L805" s="4"/>
      <c r="M805" s="4"/>
      <c r="N805" s="4"/>
      <c r="O805" s="4"/>
      <c r="P805" s="4"/>
      <c r="Q805" s="4"/>
    </row>
    <row r="806">
      <c r="A806" s="5">
        <v>805.0</v>
      </c>
      <c r="B806" s="5" t="s">
        <v>1083</v>
      </c>
      <c r="C806" s="5" t="s">
        <v>1084</v>
      </c>
      <c r="D806" s="6">
        <f>IFERROR(__xludf.DUMMYFUNCTION("SPLIT(MID(C806,2,LEN(C806)-2), "","")"),229.0)</f>
        <v>229</v>
      </c>
      <c r="E806" s="7"/>
      <c r="F806" s="7"/>
      <c r="G806" s="2" t="str">
        <f t="array" ref="G806">IF(ISBLANK(D806), "", INDEX(Categories!$B:$B,MATCH(D806,Categories!$A:$A,0)))</f>
        <v>Cafes</v>
      </c>
      <c r="H806" s="7" t="str">
        <f t="array" ref="H806">IF(ISBLANK(E806), "", INDEX(Categories!$B:$B,MATCH(E806,Categories!$A:$A,0)))</f>
        <v/>
      </c>
      <c r="I806" s="7" t="str">
        <f t="array" ref="I806">IF(ISBLANK(F806), "", INDEX(Categories!$B:$B,MATCH(F806,Categories!$A:$A,0)))</f>
        <v/>
      </c>
      <c r="J806" s="4"/>
      <c r="K806" s="4"/>
      <c r="L806" s="4"/>
      <c r="M806" s="4"/>
      <c r="N806" s="4"/>
      <c r="O806" s="4"/>
      <c r="P806" s="4"/>
      <c r="Q806" s="4"/>
    </row>
    <row r="807">
      <c r="A807" s="5">
        <v>806.0</v>
      </c>
      <c r="B807" s="5" t="s">
        <v>1085</v>
      </c>
      <c r="C807" s="5" t="s">
        <v>96</v>
      </c>
      <c r="D807" s="6">
        <f>IFERROR(__xludf.DUMMYFUNCTION("SPLIT(MID(C807,2,LEN(C807)-2), "","")"),572.0)</f>
        <v>572</v>
      </c>
      <c r="E807" s="7"/>
      <c r="F807" s="7"/>
      <c r="G807" s="2" t="str">
        <f t="array" ref="G807">IF(ISBLANK(D807), "", INDEX(Categories!$B:$B,MATCH(D807,Categories!$A:$A,0)))</f>
        <v>Groceries</v>
      </c>
      <c r="H807" s="7" t="str">
        <f t="array" ref="H807">IF(ISBLANK(E807), "", INDEX(Categories!$B:$B,MATCH(E807,Categories!$A:$A,0)))</f>
        <v/>
      </c>
      <c r="I807" s="7" t="str">
        <f t="array" ref="I807">IF(ISBLANK(F807), "", INDEX(Categories!$B:$B,MATCH(F807,Categories!$A:$A,0)))</f>
        <v/>
      </c>
      <c r="J807" s="4"/>
      <c r="K807" s="4"/>
      <c r="L807" s="4"/>
      <c r="M807" s="4"/>
      <c r="N807" s="4"/>
      <c r="O807" s="4"/>
      <c r="P807" s="4"/>
      <c r="Q807" s="4"/>
    </row>
    <row r="808">
      <c r="A808" s="5">
        <v>807.0</v>
      </c>
      <c r="B808" s="5" t="s">
        <v>1086</v>
      </c>
      <c r="C808" s="5" t="s">
        <v>280</v>
      </c>
      <c r="D808" s="6">
        <f>IFERROR(__xludf.DUMMYFUNCTION("SPLIT(MID(C808,2,LEN(C808)-2), "","")"),936.0)</f>
        <v>936</v>
      </c>
      <c r="E808" s="7"/>
      <c r="F808" s="7"/>
      <c r="G808" s="2" t="str">
        <f t="array" ref="G808">IF(ISBLANK(D808), "", INDEX(Categories!$B:$B,MATCH(D808,Categories!$A:$A,0)))</f>
        <v>Loans</v>
      </c>
      <c r="H808" s="7" t="str">
        <f t="array" ref="H808">IF(ISBLANK(E808), "", INDEX(Categories!$B:$B,MATCH(E808,Categories!$A:$A,0)))</f>
        <v/>
      </c>
      <c r="I808" s="7" t="str">
        <f t="array" ref="I808">IF(ISBLANK(F808), "", INDEX(Categories!$B:$B,MATCH(F808,Categories!$A:$A,0)))</f>
        <v/>
      </c>
      <c r="J808" s="4"/>
      <c r="K808" s="4"/>
      <c r="L808" s="4"/>
      <c r="M808" s="4"/>
      <c r="N808" s="4"/>
      <c r="O808" s="4"/>
      <c r="P808" s="4"/>
      <c r="Q808" s="4"/>
    </row>
    <row r="809">
      <c r="A809" s="5">
        <v>808.0</v>
      </c>
      <c r="B809" s="5" t="s">
        <v>1087</v>
      </c>
      <c r="C809" s="5" t="s">
        <v>368</v>
      </c>
      <c r="D809" s="6">
        <f>IFERROR(__xludf.DUMMYFUNCTION("SPLIT(MID(C809,2,LEN(C809)-2), "","")"),1000.0)</f>
        <v>1000</v>
      </c>
      <c r="E809" s="7"/>
      <c r="F809" s="7"/>
      <c r="G809" s="2" t="str">
        <f t="array" ref="G809">IF(ISBLANK(D809), "", INDEX(Categories!$B:$B,MATCH(D809,Categories!$A:$A,0)))</f>
        <v>Telephone Companies</v>
      </c>
      <c r="H809" s="7" t="str">
        <f t="array" ref="H809">IF(ISBLANK(E809), "", INDEX(Categories!$B:$B,MATCH(E809,Categories!$A:$A,0)))</f>
        <v/>
      </c>
      <c r="I809" s="7" t="str">
        <f t="array" ref="I809">IF(ISBLANK(F809), "", INDEX(Categories!$B:$B,MATCH(F809,Categories!$A:$A,0)))</f>
        <v/>
      </c>
      <c r="J809" s="4"/>
      <c r="K809" s="4"/>
      <c r="L809" s="4"/>
      <c r="M809" s="4"/>
      <c r="N809" s="4"/>
      <c r="O809" s="4"/>
      <c r="P809" s="4"/>
      <c r="Q809" s="4"/>
    </row>
    <row r="810">
      <c r="A810" s="5">
        <v>809.0</v>
      </c>
      <c r="B810" s="5" t="s">
        <v>1088</v>
      </c>
      <c r="C810" s="5" t="s">
        <v>43</v>
      </c>
      <c r="D810" s="6">
        <f>IFERROR(__xludf.DUMMYFUNCTION("SPLIT(MID(C810,2,LEN(C810)-2), "","")"),292.0)</f>
        <v>292</v>
      </c>
      <c r="E810" s="7"/>
      <c r="F810" s="7"/>
      <c r="G810" s="2" t="str">
        <f t="array" ref="G810">IF(ISBLANK(D810), "", INDEX(Categories!$B:$B,MATCH(D810,Categories!$A:$A,0)))</f>
        <v>Banks</v>
      </c>
      <c r="H810" s="7" t="str">
        <f t="array" ref="H810">IF(ISBLANK(E810), "", INDEX(Categories!$B:$B,MATCH(E810,Categories!$A:$A,0)))</f>
        <v/>
      </c>
      <c r="I810" s="7" t="str">
        <f t="array" ref="I810">IF(ISBLANK(F810), "", INDEX(Categories!$B:$B,MATCH(F810,Categories!$A:$A,0)))</f>
        <v/>
      </c>
      <c r="J810" s="4"/>
      <c r="K810" s="4"/>
      <c r="L810" s="4"/>
      <c r="M810" s="4"/>
      <c r="N810" s="4"/>
      <c r="O810" s="4"/>
      <c r="P810" s="4"/>
      <c r="Q810" s="4"/>
    </row>
    <row r="811">
      <c r="A811" s="5">
        <v>810.0</v>
      </c>
      <c r="B811" s="5" t="s">
        <v>1089</v>
      </c>
      <c r="C811" s="5" t="s">
        <v>135</v>
      </c>
      <c r="D811" s="6">
        <f>IFERROR(__xludf.DUMMYFUNCTION("SPLIT(MID(C811,2,LEN(C811)-2), "","")"),96.0)</f>
        <v>96</v>
      </c>
      <c r="E811" s="7"/>
      <c r="F811" s="7"/>
      <c r="G811" s="2" t="str">
        <f t="array" ref="G811">IF(ISBLANK(D811), "", INDEX(Categories!$B:$B,MATCH(D811,Categories!$A:$A,0)))</f>
        <v>Truck Renting &amp; Leasing</v>
      </c>
      <c r="H811" s="7" t="str">
        <f t="array" ref="H811">IF(ISBLANK(E811), "", INDEX(Categories!$B:$B,MATCH(E811,Categories!$A:$A,0)))</f>
        <v/>
      </c>
      <c r="I811" s="7" t="str">
        <f t="array" ref="I811">IF(ISBLANK(F811), "", INDEX(Categories!$B:$B,MATCH(F811,Categories!$A:$A,0)))</f>
        <v/>
      </c>
      <c r="J811" s="4"/>
      <c r="K811" s="4"/>
      <c r="L811" s="4"/>
      <c r="M811" s="4"/>
      <c r="N811" s="4"/>
      <c r="O811" s="4"/>
      <c r="P811" s="4"/>
      <c r="Q811" s="4"/>
    </row>
    <row r="812">
      <c r="A812" s="5">
        <v>811.0</v>
      </c>
      <c r="B812" s="5" t="s">
        <v>1090</v>
      </c>
      <c r="C812" s="5" t="s">
        <v>65</v>
      </c>
      <c r="D812" s="6">
        <f>IFERROR(__xludf.DUMMYFUNCTION("SPLIT(MID(C812,2,LEN(C812)-2), "","")"),983.0)</f>
        <v>983</v>
      </c>
      <c r="E812" s="7"/>
      <c r="F812" s="7"/>
      <c r="G812" s="2" t="str">
        <f t="array" ref="G812">IF(ISBLANK(D812), "", INDEX(Categories!$B:$B,MATCH(D812,Categories!$A:$A,0)))</f>
        <v>Mobile Telephone Service</v>
      </c>
      <c r="H812" s="7" t="str">
        <f t="array" ref="H812">IF(ISBLANK(E812), "", INDEX(Categories!$B:$B,MATCH(E812,Categories!$A:$A,0)))</f>
        <v/>
      </c>
      <c r="I812" s="7" t="str">
        <f t="array" ref="I812">IF(ISBLANK(F812), "", INDEX(Categories!$B:$B,MATCH(F812,Categories!$A:$A,0)))</f>
        <v/>
      </c>
      <c r="J812" s="4"/>
      <c r="K812" s="4"/>
      <c r="L812" s="4"/>
      <c r="M812" s="4"/>
      <c r="N812" s="4"/>
      <c r="O812" s="4"/>
      <c r="P812" s="4"/>
      <c r="Q812" s="4"/>
    </row>
    <row r="813">
      <c r="A813" s="5">
        <v>812.0</v>
      </c>
      <c r="B813" s="5" t="s">
        <v>1091</v>
      </c>
      <c r="C813" s="5" t="s">
        <v>280</v>
      </c>
      <c r="D813" s="6">
        <f>IFERROR(__xludf.DUMMYFUNCTION("SPLIT(MID(C813,2,LEN(C813)-2), "","")"),936.0)</f>
        <v>936</v>
      </c>
      <c r="E813" s="7"/>
      <c r="F813" s="7"/>
      <c r="G813" s="2" t="str">
        <f t="array" ref="G813">IF(ISBLANK(D813), "", INDEX(Categories!$B:$B,MATCH(D813,Categories!$A:$A,0)))</f>
        <v>Loans</v>
      </c>
      <c r="H813" s="7" t="str">
        <f t="array" ref="H813">IF(ISBLANK(E813), "", INDEX(Categories!$B:$B,MATCH(E813,Categories!$A:$A,0)))</f>
        <v/>
      </c>
      <c r="I813" s="7" t="str">
        <f t="array" ref="I813">IF(ISBLANK(F813), "", INDEX(Categories!$B:$B,MATCH(F813,Categories!$A:$A,0)))</f>
        <v/>
      </c>
      <c r="J813" s="4"/>
      <c r="K813" s="4"/>
      <c r="L813" s="4"/>
      <c r="M813" s="4"/>
      <c r="N813" s="4"/>
      <c r="O813" s="4"/>
      <c r="P813" s="4"/>
      <c r="Q813" s="4"/>
    </row>
    <row r="814">
      <c r="A814" s="5">
        <v>813.0</v>
      </c>
      <c r="B814" s="5" t="s">
        <v>1092</v>
      </c>
      <c r="C814" s="5" t="s">
        <v>16</v>
      </c>
      <c r="D814" s="6">
        <f>IFERROR(__xludf.DUMMYFUNCTION("SPLIT(MID(C814,2,LEN(C814)-2), "","")"),51.0)</f>
        <v>51</v>
      </c>
      <c r="E814" s="7"/>
      <c r="F814" s="7"/>
      <c r="G814" s="2" t="str">
        <f t="array" ref="G814">IF(ISBLANK(D814), "", INDEX(Categories!$B:$B,MATCH(D814,Categories!$A:$A,0)))</f>
        <v>Automobile Parts &amp; Supplies</v>
      </c>
      <c r="H814" s="7" t="str">
        <f t="array" ref="H814">IF(ISBLANK(E814), "", INDEX(Categories!$B:$B,MATCH(E814,Categories!$A:$A,0)))</f>
        <v/>
      </c>
      <c r="I814" s="7" t="str">
        <f t="array" ref="I814">IF(ISBLANK(F814), "", INDEX(Categories!$B:$B,MATCH(F814,Categories!$A:$A,0)))</f>
        <v/>
      </c>
      <c r="J814" s="4"/>
      <c r="K814" s="4"/>
      <c r="L814" s="4"/>
      <c r="M814" s="4"/>
      <c r="N814" s="4"/>
      <c r="O814" s="4"/>
      <c r="P814" s="4"/>
      <c r="Q814" s="4"/>
    </row>
    <row r="815">
      <c r="A815" s="5">
        <v>814.0</v>
      </c>
      <c r="B815" s="5" t="s">
        <v>1093</v>
      </c>
      <c r="C815" s="5" t="s">
        <v>1094</v>
      </c>
      <c r="D815" s="6">
        <f>IFERROR(__xludf.DUMMYFUNCTION("SPLIT(MID(C815,2,LEN(C815)-2), "","")"),1011.0)</f>
        <v>1011</v>
      </c>
      <c r="E815" s="7"/>
      <c r="F815" s="7"/>
      <c r="G815" s="2" t="str">
        <f t="array" ref="G815">IF(ISBLANK(D815), "", INDEX(Categories!$B:$B,MATCH(D815,Categories!$A:$A,0)))</f>
        <v>Wireless Phone Service</v>
      </c>
      <c r="H815" s="7" t="str">
        <f t="array" ref="H815">IF(ISBLANK(E815), "", INDEX(Categories!$B:$B,MATCH(E815,Categories!$A:$A,0)))</f>
        <v/>
      </c>
      <c r="I815" s="7" t="str">
        <f t="array" ref="I815">IF(ISBLANK(F815), "", INDEX(Categories!$B:$B,MATCH(F815,Categories!$A:$A,0)))</f>
        <v/>
      </c>
      <c r="J815" s="4"/>
      <c r="K815" s="4"/>
      <c r="L815" s="4"/>
      <c r="M815" s="4"/>
      <c r="N815" s="4"/>
      <c r="O815" s="4"/>
      <c r="P815" s="4"/>
      <c r="Q815" s="4"/>
    </row>
    <row r="816">
      <c r="A816" s="5">
        <v>815.0</v>
      </c>
      <c r="B816" s="5" t="s">
        <v>1095</v>
      </c>
      <c r="C816" s="5" t="s">
        <v>65</v>
      </c>
      <c r="D816" s="6">
        <f>IFERROR(__xludf.DUMMYFUNCTION("SPLIT(MID(C816,2,LEN(C816)-2), "","")"),983.0)</f>
        <v>983</v>
      </c>
      <c r="E816" s="7"/>
      <c r="F816" s="7"/>
      <c r="G816" s="2" t="str">
        <f t="array" ref="G816">IF(ISBLANK(D816), "", INDEX(Categories!$B:$B,MATCH(D816,Categories!$A:$A,0)))</f>
        <v>Mobile Telephone Service</v>
      </c>
      <c r="H816" s="7" t="str">
        <f t="array" ref="H816">IF(ISBLANK(E816), "", INDEX(Categories!$B:$B,MATCH(E816,Categories!$A:$A,0)))</f>
        <v/>
      </c>
      <c r="I816" s="7" t="str">
        <f t="array" ref="I816">IF(ISBLANK(F816), "", INDEX(Categories!$B:$B,MATCH(F816,Categories!$A:$A,0)))</f>
        <v/>
      </c>
      <c r="J816" s="4"/>
      <c r="K816" s="4"/>
      <c r="L816" s="4"/>
      <c r="M816" s="4"/>
      <c r="N816" s="4"/>
      <c r="O816" s="4"/>
      <c r="P816" s="4"/>
      <c r="Q816" s="4"/>
    </row>
    <row r="817">
      <c r="A817" s="5">
        <v>816.0</v>
      </c>
      <c r="B817" s="5" t="s">
        <v>1096</v>
      </c>
      <c r="C817" s="5" t="s">
        <v>475</v>
      </c>
      <c r="D817" s="6">
        <f>IFERROR(__xludf.DUMMYFUNCTION("SPLIT(MID(C817,2,LEN(C817)-2), "","")"),851.0)</f>
        <v>851</v>
      </c>
      <c r="E817" s="7"/>
      <c r="F817" s="7"/>
      <c r="G817" s="2" t="str">
        <f t="array" ref="G817">IF(ISBLANK(D817), "", INDEX(Categories!$B:$B,MATCH(D817,Categories!$A:$A,0)))</f>
        <v>Garbage &amp; Rubbish Collection</v>
      </c>
      <c r="H817" s="7" t="str">
        <f t="array" ref="H817">IF(ISBLANK(E817), "", INDEX(Categories!$B:$B,MATCH(E817,Categories!$A:$A,0)))</f>
        <v/>
      </c>
      <c r="I817" s="7" t="str">
        <f t="array" ref="I817">IF(ISBLANK(F817), "", INDEX(Categories!$B:$B,MATCH(F817,Categories!$A:$A,0)))</f>
        <v/>
      </c>
      <c r="J817" s="4"/>
      <c r="K817" s="4"/>
      <c r="L817" s="4"/>
      <c r="M817" s="4"/>
      <c r="N817" s="4"/>
      <c r="O817" s="4"/>
      <c r="P817" s="4"/>
      <c r="Q817" s="4"/>
    </row>
    <row r="818">
      <c r="A818" s="5">
        <v>817.0</v>
      </c>
      <c r="B818" s="5" t="s">
        <v>1097</v>
      </c>
      <c r="C818" s="5" t="s">
        <v>775</v>
      </c>
      <c r="D818" s="6">
        <f>IFERROR(__xludf.DUMMYFUNCTION("SPLIT(MID(C818,2,LEN(C818)-2), "","")"),2785.0)</f>
        <v>2785</v>
      </c>
      <c r="E818" s="7"/>
      <c r="F818" s="7"/>
      <c r="G818" s="2" t="str">
        <f t="array" ref="G818">IF(ISBLANK(D818), "", INDEX(Categories!$B:$B,MATCH(D818,Categories!$A:$A,0)))</f>
        <v>Home Improvement Centers</v>
      </c>
      <c r="H818" s="7" t="str">
        <f t="array" ref="H818">IF(ISBLANK(E818), "", INDEX(Categories!$B:$B,MATCH(E818,Categories!$A:$A,0)))</f>
        <v/>
      </c>
      <c r="I818" s="7" t="str">
        <f t="array" ref="I818">IF(ISBLANK(F818), "", INDEX(Categories!$B:$B,MATCH(F818,Categories!$A:$A,0)))</f>
        <v/>
      </c>
      <c r="J818" s="4"/>
      <c r="K818" s="4"/>
      <c r="L818" s="4"/>
      <c r="M818" s="4"/>
      <c r="N818" s="4"/>
      <c r="O818" s="4"/>
      <c r="P818" s="4"/>
      <c r="Q818" s="4"/>
    </row>
    <row r="819">
      <c r="A819" s="5">
        <v>818.0</v>
      </c>
      <c r="B819" s="5" t="s">
        <v>1098</v>
      </c>
      <c r="C819" s="5" t="s">
        <v>45</v>
      </c>
      <c r="D819" s="6">
        <f>IFERROR(__xludf.DUMMYFUNCTION("SPLIT(MID(C819,2,LEN(C819)-2), "","")"),234.0)</f>
        <v>234</v>
      </c>
      <c r="E819" s="7"/>
      <c r="F819" s="7"/>
      <c r="G819" s="2" t="str">
        <f t="array" ref="G819">IF(ISBLANK(D819), "", INDEX(Categories!$B:$B,MATCH(D819,Categories!$A:$A,0)))</f>
        <v>Ice Cream Parlors Consumer</v>
      </c>
      <c r="H819" s="7" t="str">
        <f t="array" ref="H819">IF(ISBLANK(E819), "", INDEX(Categories!$B:$B,MATCH(E819,Categories!$A:$A,0)))</f>
        <v/>
      </c>
      <c r="I819" s="7" t="str">
        <f t="array" ref="I819">IF(ISBLANK(F819), "", INDEX(Categories!$B:$B,MATCH(F819,Categories!$A:$A,0)))</f>
        <v/>
      </c>
      <c r="J819" s="4"/>
      <c r="K819" s="4"/>
      <c r="L819" s="4"/>
      <c r="M819" s="4"/>
      <c r="N819" s="4"/>
      <c r="O819" s="4"/>
      <c r="P819" s="4"/>
      <c r="Q819" s="4"/>
    </row>
    <row r="820">
      <c r="A820" s="5">
        <v>819.0</v>
      </c>
      <c r="B820" s="5" t="s">
        <v>1099</v>
      </c>
      <c r="C820" s="5" t="s">
        <v>45</v>
      </c>
      <c r="D820" s="6">
        <f>IFERROR(__xludf.DUMMYFUNCTION("SPLIT(MID(C820,2,LEN(C820)-2), "","")"),234.0)</f>
        <v>234</v>
      </c>
      <c r="E820" s="7"/>
      <c r="F820" s="7"/>
      <c r="G820" s="2" t="str">
        <f t="array" ref="G820">IF(ISBLANK(D820), "", INDEX(Categories!$B:$B,MATCH(D820,Categories!$A:$A,0)))</f>
        <v>Ice Cream Parlors Consumer</v>
      </c>
      <c r="H820" s="7" t="str">
        <f t="array" ref="H820">IF(ISBLANK(E820), "", INDEX(Categories!$B:$B,MATCH(E820,Categories!$A:$A,0)))</f>
        <v/>
      </c>
      <c r="I820" s="7" t="str">
        <f t="array" ref="I820">IF(ISBLANK(F820), "", INDEX(Categories!$B:$B,MATCH(F820,Categories!$A:$A,0)))</f>
        <v/>
      </c>
      <c r="J820" s="4"/>
      <c r="K820" s="4"/>
      <c r="L820" s="4"/>
      <c r="M820" s="4"/>
      <c r="N820" s="4"/>
      <c r="O820" s="4"/>
      <c r="P820" s="4"/>
      <c r="Q820" s="4"/>
    </row>
    <row r="821">
      <c r="A821" s="5">
        <v>820.0</v>
      </c>
      <c r="B821" s="5" t="s">
        <v>1100</v>
      </c>
      <c r="C821" s="5" t="s">
        <v>170</v>
      </c>
      <c r="D821" s="6">
        <f>IFERROR(__xludf.DUMMYFUNCTION("SPLIT(MID(C821,2,LEN(C821)-2), "","")"),189.0)</f>
        <v>189</v>
      </c>
      <c r="E821" s="7"/>
      <c r="F821" s="7"/>
      <c r="G821" s="2" t="str">
        <f t="array" ref="G821">IF(ISBLANK(D821), "", INDEX(Categories!$B:$B,MATCH(D821,Categories!$A:$A,0)))</f>
        <v>Pharmacies</v>
      </c>
      <c r="H821" s="7" t="str">
        <f t="array" ref="H821">IF(ISBLANK(E821), "", INDEX(Categories!$B:$B,MATCH(E821,Categories!$A:$A,0)))</f>
        <v/>
      </c>
      <c r="I821" s="7" t="str">
        <f t="array" ref="I821">IF(ISBLANK(F821), "", INDEX(Categories!$B:$B,MATCH(F821,Categories!$A:$A,0)))</f>
        <v/>
      </c>
      <c r="J821" s="4"/>
      <c r="K821" s="4"/>
      <c r="L821" s="4"/>
      <c r="M821" s="4"/>
      <c r="N821" s="4"/>
      <c r="O821" s="4"/>
      <c r="P821" s="4"/>
      <c r="Q821" s="4"/>
    </row>
    <row r="822">
      <c r="A822" s="5">
        <v>821.0</v>
      </c>
      <c r="B822" s="5" t="s">
        <v>1101</v>
      </c>
      <c r="C822" s="5" t="s">
        <v>69</v>
      </c>
      <c r="D822" s="6">
        <f>IFERROR(__xludf.DUMMYFUNCTION("SPLIT(MID(C822,2,LEN(C822)-2), "","")"),293.0)</f>
        <v>293</v>
      </c>
      <c r="E822" s="7"/>
      <c r="F822" s="7"/>
      <c r="G822" s="2" t="str">
        <f t="array" ref="G822">IF(ISBLANK(D822), "", INDEX(Categories!$B:$B,MATCH(D822,Categories!$A:$A,0)))</f>
        <v>Banks Commercial</v>
      </c>
      <c r="H822" s="7" t="str">
        <f t="array" ref="H822">IF(ISBLANK(E822), "", INDEX(Categories!$B:$B,MATCH(E822,Categories!$A:$A,0)))</f>
        <v/>
      </c>
      <c r="I822" s="7" t="str">
        <f t="array" ref="I822">IF(ISBLANK(F822), "", INDEX(Categories!$B:$B,MATCH(F822,Categories!$A:$A,0)))</f>
        <v/>
      </c>
      <c r="J822" s="4"/>
      <c r="K822" s="4"/>
      <c r="L822" s="4"/>
      <c r="M822" s="4"/>
      <c r="N822" s="4"/>
      <c r="O822" s="4"/>
      <c r="P822" s="4"/>
      <c r="Q822" s="4"/>
    </row>
    <row r="823">
      <c r="A823" s="5">
        <v>822.0</v>
      </c>
      <c r="B823" s="5" t="s">
        <v>1102</v>
      </c>
      <c r="C823" s="5" t="s">
        <v>96</v>
      </c>
      <c r="D823" s="6">
        <f>IFERROR(__xludf.DUMMYFUNCTION("SPLIT(MID(C823,2,LEN(C823)-2), "","")"),572.0)</f>
        <v>572</v>
      </c>
      <c r="E823" s="7"/>
      <c r="F823" s="7"/>
      <c r="G823" s="2" t="str">
        <f t="array" ref="G823">IF(ISBLANK(D823), "", INDEX(Categories!$B:$B,MATCH(D823,Categories!$A:$A,0)))</f>
        <v>Groceries</v>
      </c>
      <c r="H823" s="7" t="str">
        <f t="array" ref="H823">IF(ISBLANK(E823), "", INDEX(Categories!$B:$B,MATCH(E823,Categories!$A:$A,0)))</f>
        <v/>
      </c>
      <c r="I823" s="7" t="str">
        <f t="array" ref="I823">IF(ISBLANK(F823), "", INDEX(Categories!$B:$B,MATCH(F823,Categories!$A:$A,0)))</f>
        <v/>
      </c>
      <c r="J823" s="4"/>
      <c r="K823" s="4"/>
      <c r="L823" s="4"/>
      <c r="M823" s="4"/>
      <c r="N823" s="4"/>
      <c r="O823" s="4"/>
      <c r="P823" s="4"/>
      <c r="Q823" s="4"/>
    </row>
    <row r="824">
      <c r="A824" s="5">
        <v>823.0</v>
      </c>
      <c r="B824" s="5" t="s">
        <v>1103</v>
      </c>
      <c r="C824" s="5" t="s">
        <v>307</v>
      </c>
      <c r="D824" s="6">
        <f>IFERROR(__xludf.DUMMYFUNCTION("SPLIT(MID(C824,2,LEN(C824)-2), "","")"),241.0)</f>
        <v>241</v>
      </c>
      <c r="E824" s="7"/>
      <c r="F824" s="7"/>
      <c r="G824" s="2" t="str">
        <f t="array" ref="G824">IF(ISBLANK(D824), "", INDEX(Categories!$B:$B,MATCH(D824,Categories!$A:$A,0)))</f>
        <v>Restaurants Mexican</v>
      </c>
      <c r="H824" s="7" t="str">
        <f t="array" ref="H824">IF(ISBLANK(E824), "", INDEX(Categories!$B:$B,MATCH(E824,Categories!$A:$A,0)))</f>
        <v/>
      </c>
      <c r="I824" s="7" t="str">
        <f t="array" ref="I824">IF(ISBLANK(F824), "", INDEX(Categories!$B:$B,MATCH(F824,Categories!$A:$A,0)))</f>
        <v/>
      </c>
      <c r="J824" s="4"/>
      <c r="K824" s="4"/>
      <c r="L824" s="4"/>
      <c r="M824" s="4"/>
      <c r="N824" s="4"/>
      <c r="O824" s="4"/>
      <c r="P824" s="4"/>
      <c r="Q824" s="4"/>
    </row>
    <row r="825">
      <c r="A825" s="5">
        <v>824.0</v>
      </c>
      <c r="B825" s="5" t="s">
        <v>1104</v>
      </c>
      <c r="C825" s="5" t="s">
        <v>212</v>
      </c>
      <c r="D825" s="6">
        <f>IFERROR(__xludf.DUMMYFUNCTION("SPLIT(MID(C825,2,LEN(C825)-2), "","")"),446.0)</f>
        <v>446</v>
      </c>
      <c r="E825" s="7"/>
      <c r="F825" s="7"/>
      <c r="G825" s="2" t="str">
        <f t="array" ref="G825">IF(ISBLANK(D825), "", INDEX(Categories!$B:$B,MATCH(D825,Categories!$A:$A,0)))</f>
        <v>Beauty Salons</v>
      </c>
      <c r="H825" s="7" t="str">
        <f t="array" ref="H825">IF(ISBLANK(E825), "", INDEX(Categories!$B:$B,MATCH(E825,Categories!$A:$A,0)))</f>
        <v/>
      </c>
      <c r="I825" s="7" t="str">
        <f t="array" ref="I825">IF(ISBLANK(F825), "", INDEX(Categories!$B:$B,MATCH(F825,Categories!$A:$A,0)))</f>
        <v/>
      </c>
      <c r="J825" s="4"/>
      <c r="K825" s="4"/>
      <c r="L825" s="4"/>
      <c r="M825" s="4"/>
      <c r="N825" s="4"/>
      <c r="O825" s="4"/>
      <c r="P825" s="4"/>
      <c r="Q825" s="4"/>
    </row>
    <row r="826">
      <c r="A826" s="5">
        <v>825.0</v>
      </c>
      <c r="B826" s="5" t="s">
        <v>1105</v>
      </c>
      <c r="C826" s="5" t="s">
        <v>139</v>
      </c>
      <c r="D826" s="6">
        <f>IFERROR(__xludf.DUMMYFUNCTION("SPLIT(MID(C826,2,LEN(C826)-2), "","")"),1617.0)</f>
        <v>1617</v>
      </c>
      <c r="E826" s="7"/>
      <c r="F826" s="7"/>
      <c r="G826" s="2" t="str">
        <f t="array" ref="G826">IF(ISBLANK(D826), "", INDEX(Categories!$B:$B,MATCH(D826,Categories!$A:$A,0)))</f>
        <v>Department Stores</v>
      </c>
      <c r="H826" s="7" t="str">
        <f t="array" ref="H826">IF(ISBLANK(E826), "", INDEX(Categories!$B:$B,MATCH(E826,Categories!$A:$A,0)))</f>
        <v/>
      </c>
      <c r="I826" s="7" t="str">
        <f t="array" ref="I826">IF(ISBLANK(F826), "", INDEX(Categories!$B:$B,MATCH(F826,Categories!$A:$A,0)))</f>
        <v/>
      </c>
      <c r="J826" s="4"/>
      <c r="K826" s="4"/>
      <c r="L826" s="4"/>
      <c r="M826" s="4"/>
      <c r="N826" s="4"/>
      <c r="O826" s="4"/>
      <c r="P826" s="4"/>
      <c r="Q826" s="4"/>
    </row>
    <row r="827">
      <c r="A827" s="5">
        <v>826.0</v>
      </c>
      <c r="B827" s="5" t="s">
        <v>1106</v>
      </c>
      <c r="C827" s="5" t="s">
        <v>341</v>
      </c>
      <c r="D827" s="6">
        <f>IFERROR(__xludf.DUMMYFUNCTION("SPLIT(MID(C827,2,LEN(C827)-2), "","")"),2499.0)</f>
        <v>2499</v>
      </c>
      <c r="E827" s="7"/>
      <c r="F827" s="7"/>
      <c r="G827" s="2" t="str">
        <f t="array" ref="G827">IF(ISBLANK(D827), "", INDEX(Categories!$B:$B,MATCH(D827,Categories!$A:$A,0)))</f>
        <v>Diet, Nutrition &amp; Weight Management</v>
      </c>
      <c r="H827" s="7" t="str">
        <f t="array" ref="H827">IF(ISBLANK(E827), "", INDEX(Categories!$B:$B,MATCH(E827,Categories!$A:$A,0)))</f>
        <v/>
      </c>
      <c r="I827" s="7" t="str">
        <f t="array" ref="I827">IF(ISBLANK(F827), "", INDEX(Categories!$B:$B,MATCH(F827,Categories!$A:$A,0)))</f>
        <v/>
      </c>
      <c r="J827" s="4"/>
      <c r="K827" s="4"/>
      <c r="L827" s="4"/>
      <c r="M827" s="4"/>
      <c r="N827" s="4"/>
      <c r="O827" s="4"/>
      <c r="P827" s="4"/>
      <c r="Q827" s="4"/>
    </row>
    <row r="828">
      <c r="A828" s="5">
        <v>827.0</v>
      </c>
      <c r="B828" s="5" t="s">
        <v>1107</v>
      </c>
      <c r="C828" s="5" t="s">
        <v>290</v>
      </c>
      <c r="D828" s="6">
        <f>IFERROR(__xludf.DUMMYFUNCTION("SPLIT(MID(C828,2,LEN(C828)-2), "","")"),2035.0)</f>
        <v>2035</v>
      </c>
      <c r="E828" s="7"/>
      <c r="F828" s="7"/>
      <c r="G828" s="2" t="str">
        <f t="array" ref="G828">IF(ISBLANK(D828), "", INDEX(Categories!$B:$B,MATCH(D828,Categories!$A:$A,0)))</f>
        <v>Home Health Care Services</v>
      </c>
      <c r="H828" s="7" t="str">
        <f t="array" ref="H828">IF(ISBLANK(E828), "", INDEX(Categories!$B:$B,MATCH(E828,Categories!$A:$A,0)))</f>
        <v/>
      </c>
      <c r="I828" s="7" t="str">
        <f t="array" ref="I828">IF(ISBLANK(F828), "", INDEX(Categories!$B:$B,MATCH(F828,Categories!$A:$A,0)))</f>
        <v/>
      </c>
      <c r="J828" s="4"/>
      <c r="K828" s="4"/>
      <c r="L828" s="4"/>
      <c r="M828" s="4"/>
      <c r="N828" s="4"/>
      <c r="O828" s="4"/>
      <c r="P828" s="4"/>
      <c r="Q828" s="4"/>
    </row>
    <row r="829">
      <c r="A829" s="5">
        <v>828.0</v>
      </c>
      <c r="B829" s="5" t="s">
        <v>1108</v>
      </c>
      <c r="C829" s="5" t="s">
        <v>1109</v>
      </c>
      <c r="D829" s="6">
        <f>IFERROR(__xludf.DUMMYFUNCTION("SPLIT(MID(C829,2,LEN(C829)-2), "","")"),45.0)</f>
        <v>45</v>
      </c>
      <c r="E829" s="7"/>
      <c r="F829" s="7"/>
      <c r="G829" s="2" t="str">
        <f t="array" ref="G829">IF(ISBLANK(D829), "", INDEX(Categories!$B:$B,MATCH(D829,Categories!$A:$A,0)))</f>
        <v>Automobile - Parts &amp; Accessories</v>
      </c>
      <c r="H829" s="7" t="str">
        <f t="array" ref="H829">IF(ISBLANK(E829), "", INDEX(Categories!$B:$B,MATCH(E829,Categories!$A:$A,0)))</f>
        <v/>
      </c>
      <c r="I829" s="7" t="str">
        <f t="array" ref="I829">IF(ISBLANK(F829), "", INDEX(Categories!$B:$B,MATCH(F829,Categories!$A:$A,0)))</f>
        <v/>
      </c>
      <c r="J829" s="4"/>
      <c r="K829" s="4"/>
      <c r="L829" s="4"/>
      <c r="M829" s="4"/>
      <c r="N829" s="4"/>
      <c r="O829" s="4"/>
      <c r="P829" s="4"/>
      <c r="Q829" s="4"/>
    </row>
    <row r="830">
      <c r="A830" s="5">
        <v>829.0</v>
      </c>
      <c r="B830" s="5" t="s">
        <v>1110</v>
      </c>
      <c r="C830" s="5" t="s">
        <v>212</v>
      </c>
      <c r="D830" s="6">
        <f>IFERROR(__xludf.DUMMYFUNCTION("SPLIT(MID(C830,2,LEN(C830)-2), "","")"),446.0)</f>
        <v>446</v>
      </c>
      <c r="E830" s="7"/>
      <c r="F830" s="7"/>
      <c r="G830" s="2" t="str">
        <f t="array" ref="G830">IF(ISBLANK(D830), "", INDEX(Categories!$B:$B,MATCH(D830,Categories!$A:$A,0)))</f>
        <v>Beauty Salons</v>
      </c>
      <c r="H830" s="7" t="str">
        <f t="array" ref="H830">IF(ISBLANK(E830), "", INDEX(Categories!$B:$B,MATCH(E830,Categories!$A:$A,0)))</f>
        <v/>
      </c>
      <c r="I830" s="7" t="str">
        <f t="array" ref="I830">IF(ISBLANK(F830), "", INDEX(Categories!$B:$B,MATCH(F830,Categories!$A:$A,0)))</f>
        <v/>
      </c>
      <c r="J830" s="4"/>
      <c r="K830" s="4"/>
      <c r="L830" s="4"/>
      <c r="M830" s="4"/>
      <c r="N830" s="4"/>
      <c r="O830" s="4"/>
      <c r="P830" s="4"/>
      <c r="Q830" s="4"/>
    </row>
    <row r="831">
      <c r="A831" s="5">
        <v>830.0</v>
      </c>
      <c r="B831" s="5" t="s">
        <v>1111</v>
      </c>
      <c r="C831" s="5" t="s">
        <v>1112</v>
      </c>
      <c r="D831" s="6">
        <f>IFERROR(__xludf.DUMMYFUNCTION("SPLIT(MID(C831,2,LEN(C831)-2), "","")"),2386.0)</f>
        <v>2386</v>
      </c>
      <c r="E831" s="7"/>
      <c r="F831" s="7"/>
      <c r="G831" s="2" t="str">
        <f t="array" ref="G831">IF(ISBLANK(D831), "", INDEX(Categories!$B:$B,MATCH(D831,Categories!$A:$A,0)))</f>
        <v>Traffic Signs Signals &amp; Equipment</v>
      </c>
      <c r="H831" s="7" t="str">
        <f t="array" ref="H831">IF(ISBLANK(E831), "", INDEX(Categories!$B:$B,MATCH(E831,Categories!$A:$A,0)))</f>
        <v/>
      </c>
      <c r="I831" s="7" t="str">
        <f t="array" ref="I831">IF(ISBLANK(F831), "", INDEX(Categories!$B:$B,MATCH(F831,Categories!$A:$A,0)))</f>
        <v/>
      </c>
      <c r="J831" s="4"/>
      <c r="K831" s="4"/>
      <c r="L831" s="4"/>
      <c r="M831" s="4"/>
      <c r="N831" s="4"/>
      <c r="O831" s="4"/>
      <c r="P831" s="4"/>
      <c r="Q831" s="4"/>
    </row>
    <row r="832">
      <c r="A832" s="5">
        <v>831.0</v>
      </c>
      <c r="B832" s="5" t="s">
        <v>1113</v>
      </c>
      <c r="C832" s="5" t="s">
        <v>1114</v>
      </c>
      <c r="D832" s="6">
        <f>IFERROR(__xludf.DUMMYFUNCTION("SPLIT(MID(C832,2,LEN(C832)-2), "","")"),2172.0)</f>
        <v>2172</v>
      </c>
      <c r="E832" s="7"/>
      <c r="F832" s="7"/>
      <c r="G832" s="2" t="str">
        <f t="array" ref="G832">IF(ISBLANK(D832), "", INDEX(Categories!$B:$B,MATCH(D832,Categories!$A:$A,0)))</f>
        <v>Crane Rental &amp; Service</v>
      </c>
      <c r="H832" s="7" t="str">
        <f t="array" ref="H832">IF(ISBLANK(E832), "", INDEX(Categories!$B:$B,MATCH(E832,Categories!$A:$A,0)))</f>
        <v/>
      </c>
      <c r="I832" s="7" t="str">
        <f t="array" ref="I832">IF(ISBLANK(F832), "", INDEX(Categories!$B:$B,MATCH(F832,Categories!$A:$A,0)))</f>
        <v/>
      </c>
      <c r="J832" s="4"/>
      <c r="K832" s="4"/>
      <c r="L832" s="4"/>
      <c r="M832" s="4"/>
      <c r="N832" s="4"/>
      <c r="O832" s="4"/>
      <c r="P832" s="4"/>
      <c r="Q832" s="4"/>
    </row>
    <row r="833">
      <c r="A833" s="5">
        <v>832.0</v>
      </c>
      <c r="B833" s="5" t="s">
        <v>1115</v>
      </c>
      <c r="C833" s="5" t="s">
        <v>1116</v>
      </c>
      <c r="D833" s="6">
        <f>IFERROR(__xludf.DUMMYFUNCTION("SPLIT(MID(C833,2,LEN(C833)-2), "","")"),1055.0)</f>
        <v>1055</v>
      </c>
      <c r="E833" s="7"/>
      <c r="F833" s="7"/>
      <c r="G833" s="2" t="str">
        <f t="array" ref="G833">IF(ISBLANK(D833), "", INDEX(Categories!$B:$B,MATCH(D833,Categories!$A:$A,0)))</f>
        <v>Contractor Equipment &amp; Supplies Dealers &amp; Service</v>
      </c>
      <c r="H833" s="7" t="str">
        <f t="array" ref="H833">IF(ISBLANK(E833), "", INDEX(Categories!$B:$B,MATCH(E833,Categories!$A:$A,0)))</f>
        <v/>
      </c>
      <c r="I833" s="7" t="str">
        <f t="array" ref="I833">IF(ISBLANK(F833), "", INDEX(Categories!$B:$B,MATCH(F833,Categories!$A:$A,0)))</f>
        <v/>
      </c>
      <c r="J833" s="4"/>
      <c r="K833" s="4"/>
      <c r="L833" s="4"/>
      <c r="M833" s="4"/>
      <c r="N833" s="4"/>
      <c r="O833" s="4"/>
      <c r="P833" s="4"/>
      <c r="Q833" s="4"/>
    </row>
    <row r="834">
      <c r="A834" s="5">
        <v>833.0</v>
      </c>
      <c r="B834" s="5" t="s">
        <v>1117</v>
      </c>
      <c r="C834" s="5" t="s">
        <v>423</v>
      </c>
      <c r="D834" s="6">
        <f>IFERROR(__xludf.DUMMYFUNCTION("SPLIT(MID(C834,2,LEN(C834)-2), "","")"),1079.0)</f>
        <v>1079</v>
      </c>
      <c r="E834" s="7"/>
      <c r="F834" s="7"/>
      <c r="G834" s="2" t="str">
        <f t="array" ref="G834">IF(ISBLANK(D834), "", INDEX(Categories!$B:$B,MATCH(D834,Categories!$A:$A,0)))</f>
        <v>Rental Service Stores &amp; Yards</v>
      </c>
      <c r="H834" s="7" t="str">
        <f t="array" ref="H834">IF(ISBLANK(E834), "", INDEX(Categories!$B:$B,MATCH(E834,Categories!$A:$A,0)))</f>
        <v/>
      </c>
      <c r="I834" s="7" t="str">
        <f t="array" ref="I834">IF(ISBLANK(F834), "", INDEX(Categories!$B:$B,MATCH(F834,Categories!$A:$A,0)))</f>
        <v/>
      </c>
      <c r="J834" s="4"/>
      <c r="K834" s="4"/>
      <c r="L834" s="4"/>
      <c r="M834" s="4"/>
      <c r="N834" s="4"/>
      <c r="O834" s="4"/>
      <c r="P834" s="4"/>
      <c r="Q834" s="4"/>
    </row>
    <row r="835">
      <c r="A835" s="5">
        <v>834.0</v>
      </c>
      <c r="B835" s="5" t="s">
        <v>1118</v>
      </c>
      <c r="C835" s="5" t="s">
        <v>1119</v>
      </c>
      <c r="D835" s="6">
        <f>IFERROR(__xludf.DUMMYFUNCTION("SPLIT(MID(C835,2,LEN(C835)-2), "","")"),368.0)</f>
        <v>368</v>
      </c>
      <c r="E835" s="7"/>
      <c r="F835" s="7"/>
      <c r="G835" s="2" t="str">
        <f t="array" ref="G835">IF(ISBLANK(D835), "", INDEX(Categories!$B:$B,MATCH(D835,Categories!$A:$A,0)))</f>
        <v>Manicuring &amp; Pedicuring</v>
      </c>
      <c r="H835" s="7" t="str">
        <f t="array" ref="H835">IF(ISBLANK(E835), "", INDEX(Categories!$B:$B,MATCH(E835,Categories!$A:$A,0)))</f>
        <v/>
      </c>
      <c r="I835" s="7" t="str">
        <f t="array" ref="I835">IF(ISBLANK(F835), "", INDEX(Categories!$B:$B,MATCH(F835,Categories!$A:$A,0)))</f>
        <v/>
      </c>
      <c r="J835" s="4"/>
      <c r="K835" s="4"/>
      <c r="L835" s="4"/>
      <c r="M835" s="4"/>
      <c r="N835" s="4"/>
      <c r="O835" s="4"/>
      <c r="P835" s="4"/>
      <c r="Q835" s="4"/>
    </row>
    <row r="836">
      <c r="A836" s="5">
        <v>835.0</v>
      </c>
      <c r="B836" s="5" t="s">
        <v>1120</v>
      </c>
      <c r="C836" s="5" t="s">
        <v>566</v>
      </c>
      <c r="D836" s="6">
        <f>IFERROR(__xludf.DUMMYFUNCTION("SPLIT(MID(C836,2,LEN(C836)-2), "","")"),792.0)</f>
        <v>792</v>
      </c>
      <c r="E836" s="7"/>
      <c r="F836" s="7"/>
      <c r="G836" s="2" t="str">
        <f t="array" ref="G836">IF(ISBLANK(D836), "", INDEX(Categories!$B:$B,MATCH(D836,Categories!$A:$A,0)))</f>
        <v>Advertising Specialties</v>
      </c>
      <c r="H836" s="7" t="str">
        <f t="array" ref="H836">IF(ISBLANK(E836), "", INDEX(Categories!$B:$B,MATCH(E836,Categories!$A:$A,0)))</f>
        <v/>
      </c>
      <c r="I836" s="7" t="str">
        <f t="array" ref="I836">IF(ISBLANK(F836), "", INDEX(Categories!$B:$B,MATCH(F836,Categories!$A:$A,0)))</f>
        <v/>
      </c>
      <c r="J836" s="4"/>
      <c r="K836" s="4"/>
      <c r="L836" s="4"/>
      <c r="M836" s="4"/>
      <c r="N836" s="4"/>
      <c r="O836" s="4"/>
      <c r="P836" s="4"/>
      <c r="Q836" s="4"/>
    </row>
    <row r="837">
      <c r="A837" s="5">
        <v>836.0</v>
      </c>
      <c r="B837" s="5" t="s">
        <v>1121</v>
      </c>
      <c r="C837" s="5" t="s">
        <v>423</v>
      </c>
      <c r="D837" s="6">
        <f>IFERROR(__xludf.DUMMYFUNCTION("SPLIT(MID(C837,2,LEN(C837)-2), "","")"),1079.0)</f>
        <v>1079</v>
      </c>
      <c r="E837" s="7"/>
      <c r="F837" s="7"/>
      <c r="G837" s="2" t="str">
        <f t="array" ref="G837">IF(ISBLANK(D837), "", INDEX(Categories!$B:$B,MATCH(D837,Categories!$A:$A,0)))</f>
        <v>Rental Service Stores &amp; Yards</v>
      </c>
      <c r="H837" s="7" t="str">
        <f t="array" ref="H837">IF(ISBLANK(E837), "", INDEX(Categories!$B:$B,MATCH(E837,Categories!$A:$A,0)))</f>
        <v/>
      </c>
      <c r="I837" s="7" t="str">
        <f t="array" ref="I837">IF(ISBLANK(F837), "", INDEX(Categories!$B:$B,MATCH(F837,Categories!$A:$A,0)))</f>
        <v/>
      </c>
      <c r="J837" s="4"/>
      <c r="K837" s="4"/>
      <c r="L837" s="4"/>
      <c r="M837" s="4"/>
      <c r="N837" s="4"/>
      <c r="O837" s="4"/>
      <c r="P837" s="4"/>
      <c r="Q837" s="4"/>
    </row>
    <row r="838">
      <c r="A838" s="5">
        <v>837.0</v>
      </c>
      <c r="B838" s="5" t="s">
        <v>1122</v>
      </c>
      <c r="C838" s="5" t="s">
        <v>1094</v>
      </c>
      <c r="D838" s="6">
        <f>IFERROR(__xludf.DUMMYFUNCTION("SPLIT(MID(C838,2,LEN(C838)-2), "","")"),1011.0)</f>
        <v>1011</v>
      </c>
      <c r="E838" s="7"/>
      <c r="F838" s="7"/>
      <c r="G838" s="2" t="str">
        <f t="array" ref="G838">IF(ISBLANK(D838), "", INDEX(Categories!$B:$B,MATCH(D838,Categories!$A:$A,0)))</f>
        <v>Wireless Phone Service</v>
      </c>
      <c r="H838" s="7" t="str">
        <f t="array" ref="H838">IF(ISBLANK(E838), "", INDEX(Categories!$B:$B,MATCH(E838,Categories!$A:$A,0)))</f>
        <v/>
      </c>
      <c r="I838" s="7" t="str">
        <f t="array" ref="I838">IF(ISBLANK(F838), "", INDEX(Categories!$B:$B,MATCH(F838,Categories!$A:$A,0)))</f>
        <v/>
      </c>
      <c r="J838" s="4"/>
      <c r="K838" s="4"/>
      <c r="L838" s="4"/>
      <c r="M838" s="4"/>
      <c r="N838" s="4"/>
      <c r="O838" s="4"/>
      <c r="P838" s="4"/>
      <c r="Q838" s="4"/>
    </row>
    <row r="839">
      <c r="A839" s="5">
        <v>838.0</v>
      </c>
      <c r="B839" s="5" t="s">
        <v>1123</v>
      </c>
      <c r="C839" s="5" t="s">
        <v>1124</v>
      </c>
      <c r="D839" s="6">
        <f>IFERROR(__xludf.DUMMYFUNCTION("SPLIT(MID(C839,2,LEN(C839)-2), "","")"),138.0)</f>
        <v>138</v>
      </c>
      <c r="E839" s="7"/>
      <c r="F839" s="7"/>
      <c r="G839" s="2" t="str">
        <f t="array" ref="G839">IF(ISBLANK(D839), "", INDEX(Categories!$B:$B,MATCH(D839,Categories!$A:$A,0)))</f>
        <v>Life Insurance</v>
      </c>
      <c r="H839" s="7" t="str">
        <f t="array" ref="H839">IF(ISBLANK(E839), "", INDEX(Categories!$B:$B,MATCH(E839,Categories!$A:$A,0)))</f>
        <v/>
      </c>
      <c r="I839" s="7" t="str">
        <f t="array" ref="I839">IF(ISBLANK(F839), "", INDEX(Categories!$B:$B,MATCH(F839,Categories!$A:$A,0)))</f>
        <v/>
      </c>
      <c r="J839" s="4"/>
      <c r="K839" s="4"/>
      <c r="L839" s="4"/>
      <c r="M839" s="4"/>
      <c r="N839" s="4"/>
      <c r="O839" s="4"/>
      <c r="P839" s="4"/>
      <c r="Q839" s="4"/>
    </row>
    <row r="840">
      <c r="A840" s="5">
        <v>839.0</v>
      </c>
      <c r="B840" s="5" t="s">
        <v>1125</v>
      </c>
      <c r="C840" s="5" t="s">
        <v>1126</v>
      </c>
      <c r="D840" s="6">
        <f>IFERROR(__xludf.DUMMYFUNCTION("SPLIT(MID(C840,2,LEN(C840)-2), "","")"),1464.0)</f>
        <v>1464</v>
      </c>
      <c r="E840" s="7"/>
      <c r="F840" s="7"/>
      <c r="G840" s="2" t="str">
        <f t="array" ref="G840">IF(ISBLANK(D840), "", INDEX(Categories!$B:$B,MATCH(D840,Categories!$A:$A,0)))</f>
        <v>Video Games</v>
      </c>
      <c r="H840" s="7" t="str">
        <f t="array" ref="H840">IF(ISBLANK(E840), "", INDEX(Categories!$B:$B,MATCH(E840,Categories!$A:$A,0)))</f>
        <v/>
      </c>
      <c r="I840" s="7" t="str">
        <f t="array" ref="I840">IF(ISBLANK(F840), "", INDEX(Categories!$B:$B,MATCH(F840,Categories!$A:$A,0)))</f>
        <v/>
      </c>
      <c r="J840" s="4"/>
      <c r="K840" s="4"/>
      <c r="L840" s="4"/>
      <c r="M840" s="4"/>
      <c r="N840" s="4"/>
      <c r="O840" s="4"/>
      <c r="P840" s="4"/>
      <c r="Q840" s="4"/>
    </row>
    <row r="841">
      <c r="A841" s="5">
        <v>840.0</v>
      </c>
      <c r="B841" s="5" t="s">
        <v>1127</v>
      </c>
      <c r="C841" s="5" t="s">
        <v>942</v>
      </c>
      <c r="D841" s="6">
        <f>IFERROR(__xludf.DUMMYFUNCTION("SPLIT(MID(C841,2,LEN(C841)-2), "","")"),973.0)</f>
        <v>973</v>
      </c>
      <c r="E841" s="7"/>
      <c r="F841" s="7"/>
      <c r="G841" s="2" t="str">
        <f t="array" ref="G841">IF(ISBLANK(D841), "", INDEX(Categories!$B:$B,MATCH(D841,Categories!$A:$A,0)))</f>
        <v>Cable Television Services</v>
      </c>
      <c r="H841" s="7" t="str">
        <f t="array" ref="H841">IF(ISBLANK(E841), "", INDEX(Categories!$B:$B,MATCH(E841,Categories!$A:$A,0)))</f>
        <v/>
      </c>
      <c r="I841" s="7" t="str">
        <f t="array" ref="I841">IF(ISBLANK(F841), "", INDEX(Categories!$B:$B,MATCH(F841,Categories!$A:$A,0)))</f>
        <v/>
      </c>
      <c r="J841" s="4"/>
      <c r="K841" s="4"/>
      <c r="L841" s="4"/>
      <c r="M841" s="4"/>
      <c r="N841" s="4"/>
      <c r="O841" s="4"/>
      <c r="P841" s="4"/>
      <c r="Q841" s="4"/>
    </row>
    <row r="842">
      <c r="A842" s="5">
        <v>841.0</v>
      </c>
      <c r="B842" s="5" t="s">
        <v>1128</v>
      </c>
      <c r="C842" s="5" t="s">
        <v>1129</v>
      </c>
      <c r="D842" s="6">
        <f>IFERROR(__xludf.DUMMYFUNCTION("SPLIT(MID(C842,2,LEN(C842)-2), "","")"),2820.0)</f>
        <v>2820</v>
      </c>
      <c r="E842" s="7"/>
      <c r="F842" s="7"/>
      <c r="G842" s="2" t="str">
        <f t="array" ref="G842">IF(ISBLANK(D842), "", INDEX(Categories!$B:$B,MATCH(D842,Categories!$A:$A,0)))</f>
        <v>Medical Centers</v>
      </c>
      <c r="H842" s="7" t="str">
        <f t="array" ref="H842">IF(ISBLANK(E842), "", INDEX(Categories!$B:$B,MATCH(E842,Categories!$A:$A,0)))</f>
        <v/>
      </c>
      <c r="I842" s="7" t="str">
        <f t="array" ref="I842">IF(ISBLANK(F842), "", INDEX(Categories!$B:$B,MATCH(F842,Categories!$A:$A,0)))</f>
        <v/>
      </c>
      <c r="J842" s="4"/>
      <c r="K842" s="4"/>
      <c r="L842" s="4"/>
      <c r="M842" s="4"/>
      <c r="N842" s="4"/>
      <c r="O842" s="4"/>
      <c r="P842" s="4"/>
      <c r="Q842" s="4"/>
    </row>
    <row r="843">
      <c r="A843" s="5">
        <v>842.0</v>
      </c>
      <c r="B843" s="5" t="s">
        <v>1130</v>
      </c>
      <c r="C843" s="5" t="s">
        <v>221</v>
      </c>
      <c r="D843" s="6">
        <f>IFERROR(__xludf.DUMMYFUNCTION("SPLIT(MID(C843,2,LEN(C843)-2), "","")"),483.0)</f>
        <v>483</v>
      </c>
      <c r="E843" s="7"/>
      <c r="F843" s="7"/>
      <c r="G843" s="2" t="str">
        <f t="array" ref="G843">IF(ISBLANK(D843), "", INDEX(Categories!$B:$B,MATCH(D843,Categories!$A:$A,0)))</f>
        <v>Automobile Window Service &amp; Repair</v>
      </c>
      <c r="H843" s="7" t="str">
        <f t="array" ref="H843">IF(ISBLANK(E843), "", INDEX(Categories!$B:$B,MATCH(E843,Categories!$A:$A,0)))</f>
        <v/>
      </c>
      <c r="I843" s="7" t="str">
        <f t="array" ref="I843">IF(ISBLANK(F843), "", INDEX(Categories!$B:$B,MATCH(F843,Categories!$A:$A,0)))</f>
        <v/>
      </c>
      <c r="J843" s="4"/>
      <c r="K843" s="4"/>
      <c r="L843" s="4"/>
      <c r="M843" s="4"/>
      <c r="N843" s="4"/>
      <c r="O843" s="4"/>
      <c r="P843" s="4"/>
      <c r="Q843" s="4"/>
    </row>
    <row r="844">
      <c r="A844" s="5">
        <v>843.0</v>
      </c>
      <c r="B844" s="5" t="s">
        <v>1131</v>
      </c>
      <c r="C844" s="5" t="s">
        <v>284</v>
      </c>
      <c r="D844" s="6">
        <f>IFERROR(__xludf.DUMMYFUNCTION("SPLIT(MID(C844,2,LEN(C844)-2), "","")"),1189.0)</f>
        <v>1189</v>
      </c>
      <c r="E844" s="7"/>
      <c r="F844" s="7"/>
      <c r="G844" s="2" t="str">
        <f t="array" ref="G844">IF(ISBLANK(D844), "", INDEX(Categories!$B:$B,MATCH(D844,Categories!$A:$A,0)))</f>
        <v>Trucking Motor Freight</v>
      </c>
      <c r="H844" s="7" t="str">
        <f t="array" ref="H844">IF(ISBLANK(E844), "", INDEX(Categories!$B:$B,MATCH(E844,Categories!$A:$A,0)))</f>
        <v/>
      </c>
      <c r="I844" s="7" t="str">
        <f t="array" ref="I844">IF(ISBLANK(F844), "", INDEX(Categories!$B:$B,MATCH(F844,Categories!$A:$A,0)))</f>
        <v/>
      </c>
      <c r="J844" s="4"/>
      <c r="K844" s="4"/>
      <c r="L844" s="4"/>
      <c r="M844" s="4"/>
      <c r="N844" s="4"/>
      <c r="O844" s="4"/>
      <c r="P844" s="4"/>
      <c r="Q844" s="4"/>
    </row>
    <row r="845">
      <c r="A845" s="5">
        <v>844.0</v>
      </c>
      <c r="B845" s="5" t="s">
        <v>1132</v>
      </c>
      <c r="C845" s="5" t="s">
        <v>1133</v>
      </c>
      <c r="D845" s="6">
        <f>IFERROR(__xludf.DUMMYFUNCTION("SPLIT(MID(C845,2,LEN(C845)-2), "","")"),1855.0)</f>
        <v>1855</v>
      </c>
      <c r="E845" s="7"/>
      <c r="F845" s="7"/>
      <c r="G845" s="2" t="str">
        <f t="array" ref="G845">IF(ISBLANK(D845), "", INDEX(Categories!$B:$B,MATCH(D845,Categories!$A:$A,0)))</f>
        <v>Publishers Directory &amp; Guide</v>
      </c>
      <c r="H845" s="7" t="str">
        <f t="array" ref="H845">IF(ISBLANK(E845), "", INDEX(Categories!$B:$B,MATCH(E845,Categories!$A:$A,0)))</f>
        <v/>
      </c>
      <c r="I845" s="7" t="str">
        <f t="array" ref="I845">IF(ISBLANK(F845), "", INDEX(Categories!$B:$B,MATCH(F845,Categories!$A:$A,0)))</f>
        <v/>
      </c>
      <c r="J845" s="4"/>
      <c r="K845" s="4"/>
      <c r="L845" s="4"/>
      <c r="M845" s="4"/>
      <c r="N845" s="4"/>
      <c r="O845" s="4"/>
      <c r="P845" s="4"/>
      <c r="Q845" s="4"/>
    </row>
    <row r="846">
      <c r="A846" s="5">
        <v>845.0</v>
      </c>
      <c r="B846" s="5" t="s">
        <v>1134</v>
      </c>
      <c r="C846" s="5" t="s">
        <v>69</v>
      </c>
      <c r="D846" s="6">
        <f>IFERROR(__xludf.DUMMYFUNCTION("SPLIT(MID(C846,2,LEN(C846)-2), "","")"),293.0)</f>
        <v>293</v>
      </c>
      <c r="E846" s="7"/>
      <c r="F846" s="7"/>
      <c r="G846" s="2" t="str">
        <f t="array" ref="G846">IF(ISBLANK(D846), "", INDEX(Categories!$B:$B,MATCH(D846,Categories!$A:$A,0)))</f>
        <v>Banks Commercial</v>
      </c>
      <c r="H846" s="7" t="str">
        <f t="array" ref="H846">IF(ISBLANK(E846), "", INDEX(Categories!$B:$B,MATCH(E846,Categories!$A:$A,0)))</f>
        <v/>
      </c>
      <c r="I846" s="7" t="str">
        <f t="array" ref="I846">IF(ISBLANK(F846), "", INDEX(Categories!$B:$B,MATCH(F846,Categories!$A:$A,0)))</f>
        <v/>
      </c>
      <c r="J846" s="4"/>
      <c r="K846" s="4"/>
      <c r="L846" s="4"/>
      <c r="M846" s="4"/>
      <c r="N846" s="4"/>
      <c r="O846" s="4"/>
      <c r="P846" s="4"/>
      <c r="Q846" s="4"/>
    </row>
    <row r="847">
      <c r="A847" s="5">
        <v>846.0</v>
      </c>
      <c r="B847" s="5" t="s">
        <v>1135</v>
      </c>
      <c r="C847" s="5" t="s">
        <v>1136</v>
      </c>
      <c r="D847" s="6">
        <f>IFERROR(__xludf.DUMMYFUNCTION("SPLIT(MID(C847,2,LEN(C847)-2), "","")"),447.0)</f>
        <v>447</v>
      </c>
      <c r="E847" s="7"/>
      <c r="F847" s="7"/>
      <c r="G847" s="2" t="str">
        <f t="array" ref="G847">IF(ISBLANK(D847), "", INDEX(Categories!$B:$B,MATCH(D847,Categories!$A:$A,0)))</f>
        <v>Beauty Skin Care</v>
      </c>
      <c r="H847" s="7" t="str">
        <f t="array" ref="H847">IF(ISBLANK(E847), "", INDEX(Categories!$B:$B,MATCH(E847,Categories!$A:$A,0)))</f>
        <v/>
      </c>
      <c r="I847" s="7" t="str">
        <f t="array" ref="I847">IF(ISBLANK(F847), "", INDEX(Categories!$B:$B,MATCH(F847,Categories!$A:$A,0)))</f>
        <v/>
      </c>
      <c r="J847" s="4"/>
      <c r="K847" s="4"/>
      <c r="L847" s="4"/>
      <c r="M847" s="4"/>
      <c r="N847" s="4"/>
      <c r="O847" s="4"/>
      <c r="P847" s="4"/>
      <c r="Q847" s="4"/>
    </row>
    <row r="848">
      <c r="A848" s="5">
        <v>847.0</v>
      </c>
      <c r="B848" s="8" t="s">
        <v>1137</v>
      </c>
      <c r="C848" s="5" t="s">
        <v>1138</v>
      </c>
      <c r="D848" s="6">
        <f>IFERROR(__xludf.DUMMYFUNCTION("SPLIT(MID(C848,2,LEN(C848)-2), "","")"),116.0)</f>
        <v>116</v>
      </c>
      <c r="E848" s="7"/>
      <c r="F848" s="7"/>
      <c r="G848" s="2" t="str">
        <f t="array" ref="G848">IF(ISBLANK(D848), "", INDEX(Categories!$B:$B,MATCH(D848,Categories!$A:$A,0)))</f>
        <v>Florists</v>
      </c>
      <c r="H848" s="7" t="str">
        <f t="array" ref="H848">IF(ISBLANK(E848), "", INDEX(Categories!$B:$B,MATCH(E848,Categories!$A:$A,0)))</f>
        <v/>
      </c>
      <c r="I848" s="7" t="str">
        <f t="array" ref="I848">IF(ISBLANK(F848), "", INDEX(Categories!$B:$B,MATCH(F848,Categories!$A:$A,0)))</f>
        <v/>
      </c>
      <c r="J848" s="4"/>
      <c r="K848" s="4"/>
      <c r="L848" s="4"/>
      <c r="M848" s="4"/>
      <c r="N848" s="4"/>
      <c r="O848" s="4"/>
      <c r="P848" s="4"/>
      <c r="Q848" s="4"/>
    </row>
    <row r="849">
      <c r="A849" s="5">
        <v>848.0</v>
      </c>
      <c r="B849" s="5" t="s">
        <v>1139</v>
      </c>
      <c r="C849" s="5" t="s">
        <v>34</v>
      </c>
      <c r="D849" s="6">
        <f>IFERROR(__xludf.DUMMYFUNCTION("SPLIT(MID(C849,2,LEN(C849)-2), "","")"),228.0)</f>
        <v>228</v>
      </c>
      <c r="E849" s="7"/>
      <c r="F849" s="7"/>
      <c r="G849" s="2" t="str">
        <f t="array" ref="G849">IF(ISBLANK(D849), "", INDEX(Categories!$B:$B,MATCH(D849,Categories!$A:$A,0)))</f>
        <v>Restaurants</v>
      </c>
      <c r="H849" s="7" t="str">
        <f t="array" ref="H849">IF(ISBLANK(E849), "", INDEX(Categories!$B:$B,MATCH(E849,Categories!$A:$A,0)))</f>
        <v/>
      </c>
      <c r="I849" s="7" t="str">
        <f t="array" ref="I849">IF(ISBLANK(F849), "", INDEX(Categories!$B:$B,MATCH(F849,Categories!$A:$A,0)))</f>
        <v/>
      </c>
      <c r="J849" s="4"/>
      <c r="K849" s="4"/>
      <c r="L849" s="4"/>
      <c r="M849" s="4"/>
      <c r="N849" s="4"/>
      <c r="O849" s="4"/>
      <c r="P849" s="4"/>
      <c r="Q849" s="4"/>
    </row>
    <row r="850">
      <c r="A850" s="5">
        <v>849.0</v>
      </c>
      <c r="B850" s="5" t="s">
        <v>1140</v>
      </c>
      <c r="C850" s="5" t="s">
        <v>34</v>
      </c>
      <c r="D850" s="6">
        <f>IFERROR(__xludf.DUMMYFUNCTION("SPLIT(MID(C850,2,LEN(C850)-2), "","")"),228.0)</f>
        <v>228</v>
      </c>
      <c r="E850" s="7"/>
      <c r="F850" s="7"/>
      <c r="G850" s="2" t="str">
        <f t="array" ref="G850">IF(ISBLANK(D850), "", INDEX(Categories!$B:$B,MATCH(D850,Categories!$A:$A,0)))</f>
        <v>Restaurants</v>
      </c>
      <c r="H850" s="7" t="str">
        <f t="array" ref="H850">IF(ISBLANK(E850), "", INDEX(Categories!$B:$B,MATCH(E850,Categories!$A:$A,0)))</f>
        <v/>
      </c>
      <c r="I850" s="7" t="str">
        <f t="array" ref="I850">IF(ISBLANK(F850), "", INDEX(Categories!$B:$B,MATCH(F850,Categories!$A:$A,0)))</f>
        <v/>
      </c>
      <c r="J850" s="4"/>
      <c r="K850" s="4"/>
      <c r="L850" s="4"/>
      <c r="M850" s="4"/>
      <c r="N850" s="4"/>
      <c r="O850" s="4"/>
      <c r="P850" s="4"/>
      <c r="Q850" s="4"/>
    </row>
    <row r="851">
      <c r="A851" s="5">
        <v>850.0</v>
      </c>
      <c r="B851" s="5" t="s">
        <v>1141</v>
      </c>
      <c r="C851" s="5" t="s">
        <v>51</v>
      </c>
      <c r="D851" s="6">
        <f>IFERROR(__xludf.DUMMYFUNCTION("SPLIT(MID(C851,2,LEN(C851)-2), "","")"),608.0)</f>
        <v>608</v>
      </c>
      <c r="E851" s="7"/>
      <c r="F851" s="7"/>
      <c r="G851" s="2" t="str">
        <f t="array" ref="G851">IF(ISBLANK(D851), "", INDEX(Categories!$B:$B,MATCH(D851,Categories!$A:$A,0)))</f>
        <v>Sandwiches</v>
      </c>
      <c r="H851" s="7" t="str">
        <f t="array" ref="H851">IF(ISBLANK(E851), "", INDEX(Categories!$B:$B,MATCH(E851,Categories!$A:$A,0)))</f>
        <v/>
      </c>
      <c r="I851" s="7" t="str">
        <f t="array" ref="I851">IF(ISBLANK(F851), "", INDEX(Categories!$B:$B,MATCH(F851,Categories!$A:$A,0)))</f>
        <v/>
      </c>
      <c r="J851" s="4"/>
      <c r="K851" s="4"/>
      <c r="L851" s="4"/>
      <c r="M851" s="4"/>
      <c r="N851" s="4"/>
      <c r="O851" s="4"/>
      <c r="P851" s="4"/>
      <c r="Q851" s="4"/>
    </row>
    <row r="852">
      <c r="A852" s="5">
        <v>851.0</v>
      </c>
      <c r="B852" s="5" t="s">
        <v>1142</v>
      </c>
      <c r="C852" s="5" t="s">
        <v>51</v>
      </c>
      <c r="D852" s="6">
        <f>IFERROR(__xludf.DUMMYFUNCTION("SPLIT(MID(C852,2,LEN(C852)-2), "","")"),608.0)</f>
        <v>608</v>
      </c>
      <c r="E852" s="7"/>
      <c r="F852" s="7"/>
      <c r="G852" s="2" t="str">
        <f t="array" ref="G852">IF(ISBLANK(D852), "", INDEX(Categories!$B:$B,MATCH(D852,Categories!$A:$A,0)))</f>
        <v>Sandwiches</v>
      </c>
      <c r="H852" s="7" t="str">
        <f t="array" ref="H852">IF(ISBLANK(E852), "", INDEX(Categories!$B:$B,MATCH(E852,Categories!$A:$A,0)))</f>
        <v/>
      </c>
      <c r="I852" s="7" t="str">
        <f t="array" ref="I852">IF(ISBLANK(F852), "", INDEX(Categories!$B:$B,MATCH(F852,Categories!$A:$A,0)))</f>
        <v/>
      </c>
      <c r="J852" s="4"/>
      <c r="K852" s="4"/>
      <c r="L852" s="4"/>
      <c r="M852" s="4"/>
      <c r="N852" s="4"/>
      <c r="O852" s="4"/>
      <c r="P852" s="4"/>
      <c r="Q852" s="4"/>
    </row>
    <row r="853">
      <c r="A853" s="5">
        <v>852.0</v>
      </c>
      <c r="B853" s="5" t="s">
        <v>1143</v>
      </c>
      <c r="C853" s="5" t="s">
        <v>34</v>
      </c>
      <c r="D853" s="6">
        <f>IFERROR(__xludf.DUMMYFUNCTION("SPLIT(MID(C853,2,LEN(C853)-2), "","")"),228.0)</f>
        <v>228</v>
      </c>
      <c r="E853" s="7"/>
      <c r="F853" s="7"/>
      <c r="G853" s="2" t="str">
        <f t="array" ref="G853">IF(ISBLANK(D853), "", INDEX(Categories!$B:$B,MATCH(D853,Categories!$A:$A,0)))</f>
        <v>Restaurants</v>
      </c>
      <c r="H853" s="7" t="str">
        <f t="array" ref="H853">IF(ISBLANK(E853), "", INDEX(Categories!$B:$B,MATCH(E853,Categories!$A:$A,0)))</f>
        <v/>
      </c>
      <c r="I853" s="7" t="str">
        <f t="array" ref="I853">IF(ISBLANK(F853), "", INDEX(Categories!$B:$B,MATCH(F853,Categories!$A:$A,0)))</f>
        <v/>
      </c>
      <c r="J853" s="4"/>
      <c r="K853" s="4"/>
      <c r="L853" s="4"/>
      <c r="M853" s="4"/>
      <c r="N853" s="4"/>
      <c r="O853" s="4"/>
      <c r="P853" s="4"/>
      <c r="Q853" s="4"/>
    </row>
    <row r="854">
      <c r="A854" s="5">
        <v>853.0</v>
      </c>
      <c r="B854" s="5" t="s">
        <v>1144</v>
      </c>
      <c r="C854" s="5" t="s">
        <v>34</v>
      </c>
      <c r="D854" s="6">
        <f>IFERROR(__xludf.DUMMYFUNCTION("SPLIT(MID(C854,2,LEN(C854)-2), "","")"),228.0)</f>
        <v>228</v>
      </c>
      <c r="E854" s="7"/>
      <c r="F854" s="7"/>
      <c r="G854" s="2" t="str">
        <f t="array" ref="G854">IF(ISBLANK(D854), "", INDEX(Categories!$B:$B,MATCH(D854,Categories!$A:$A,0)))</f>
        <v>Restaurants</v>
      </c>
      <c r="H854" s="7" t="str">
        <f t="array" ref="H854">IF(ISBLANK(E854), "", INDEX(Categories!$B:$B,MATCH(E854,Categories!$A:$A,0)))</f>
        <v/>
      </c>
      <c r="I854" s="7" t="str">
        <f t="array" ref="I854">IF(ISBLANK(F854), "", INDEX(Categories!$B:$B,MATCH(F854,Categories!$A:$A,0)))</f>
        <v/>
      </c>
      <c r="J854" s="4"/>
      <c r="K854" s="4"/>
      <c r="L854" s="4"/>
      <c r="M854" s="4"/>
      <c r="N854" s="4"/>
      <c r="O854" s="4"/>
      <c r="P854" s="4"/>
      <c r="Q854" s="4"/>
    </row>
    <row r="855">
      <c r="A855" s="5">
        <v>854.0</v>
      </c>
      <c r="B855" s="5" t="s">
        <v>1145</v>
      </c>
      <c r="C855" s="5" t="s">
        <v>51</v>
      </c>
      <c r="D855" s="6">
        <f>IFERROR(__xludf.DUMMYFUNCTION("SPLIT(MID(C855,2,LEN(C855)-2), "","")"),608.0)</f>
        <v>608</v>
      </c>
      <c r="E855" s="7"/>
      <c r="F855" s="7"/>
      <c r="G855" s="2" t="str">
        <f t="array" ref="G855">IF(ISBLANK(D855), "", INDEX(Categories!$B:$B,MATCH(D855,Categories!$A:$A,0)))</f>
        <v>Sandwiches</v>
      </c>
      <c r="H855" s="7" t="str">
        <f t="array" ref="H855">IF(ISBLANK(E855), "", INDEX(Categories!$B:$B,MATCH(E855,Categories!$A:$A,0)))</f>
        <v/>
      </c>
      <c r="I855" s="7" t="str">
        <f t="array" ref="I855">IF(ISBLANK(F855), "", INDEX(Categories!$B:$B,MATCH(F855,Categories!$A:$A,0)))</f>
        <v/>
      </c>
      <c r="J855" s="4"/>
      <c r="K855" s="4"/>
      <c r="L855" s="4"/>
      <c r="M855" s="4"/>
      <c r="N855" s="4"/>
      <c r="O855" s="4"/>
      <c r="P855" s="4"/>
      <c r="Q855" s="4"/>
    </row>
    <row r="856">
      <c r="A856" s="5">
        <v>855.0</v>
      </c>
      <c r="B856" s="5" t="s">
        <v>1146</v>
      </c>
      <c r="C856" s="5" t="s">
        <v>62</v>
      </c>
      <c r="D856" s="6">
        <f>IFERROR(__xludf.DUMMYFUNCTION("SPLIT(MID(C856,2,LEN(C856)-2), "","")"),242.0)</f>
        <v>242</v>
      </c>
      <c r="E856" s="7"/>
      <c r="F856" s="7"/>
      <c r="G856" s="2" t="str">
        <f t="array" ref="G856">IF(ISBLANK(D856), "", INDEX(Categories!$B:$B,MATCH(D856,Categories!$A:$A,0)))</f>
        <v>Restaurants Pizza</v>
      </c>
      <c r="H856" s="7" t="str">
        <f t="array" ref="H856">IF(ISBLANK(E856), "", INDEX(Categories!$B:$B,MATCH(E856,Categories!$A:$A,0)))</f>
        <v/>
      </c>
      <c r="I856" s="7" t="str">
        <f t="array" ref="I856">IF(ISBLANK(F856), "", INDEX(Categories!$B:$B,MATCH(F856,Categories!$A:$A,0)))</f>
        <v/>
      </c>
      <c r="J856" s="4"/>
      <c r="K856" s="4"/>
      <c r="L856" s="4"/>
      <c r="M856" s="4"/>
      <c r="N856" s="4"/>
      <c r="O856" s="4"/>
      <c r="P856" s="4"/>
      <c r="Q856" s="4"/>
    </row>
    <row r="857">
      <c r="A857" s="5">
        <v>856.0</v>
      </c>
      <c r="B857" s="5" t="s">
        <v>1147</v>
      </c>
      <c r="C857" s="5" t="s">
        <v>1148</v>
      </c>
      <c r="D857" s="6">
        <f>IFERROR(__xludf.DUMMYFUNCTION("SPLIT(MID(C857,2,LEN(C857)-2), "","")"),235.0)</f>
        <v>235</v>
      </c>
      <c r="E857" s="7"/>
      <c r="F857" s="7"/>
      <c r="G857" s="2" t="str">
        <f t="array" ref="G857">IF(ISBLANK(D857), "", INDEX(Categories!$B:$B,MATCH(D857,Categories!$A:$A,0)))</f>
        <v>Restaurants Barbecue</v>
      </c>
      <c r="H857" s="7" t="str">
        <f t="array" ref="H857">IF(ISBLANK(E857), "", INDEX(Categories!$B:$B,MATCH(E857,Categories!$A:$A,0)))</f>
        <v/>
      </c>
      <c r="I857" s="7" t="str">
        <f t="array" ref="I857">IF(ISBLANK(F857), "", INDEX(Categories!$B:$B,MATCH(F857,Categories!$A:$A,0)))</f>
        <v/>
      </c>
      <c r="J857" s="4"/>
      <c r="K857" s="4"/>
      <c r="L857" s="4"/>
      <c r="M857" s="4"/>
      <c r="N857" s="4"/>
      <c r="O857" s="4"/>
      <c r="P857" s="4"/>
      <c r="Q857" s="4"/>
    </row>
    <row r="858">
      <c r="A858" s="5">
        <v>857.0</v>
      </c>
      <c r="B858" s="5" t="s">
        <v>1149</v>
      </c>
      <c r="C858" s="5" t="s">
        <v>34</v>
      </c>
      <c r="D858" s="6">
        <f>IFERROR(__xludf.DUMMYFUNCTION("SPLIT(MID(C858,2,LEN(C858)-2), "","")"),228.0)</f>
        <v>228</v>
      </c>
      <c r="E858" s="7"/>
      <c r="F858" s="7"/>
      <c r="G858" s="2" t="str">
        <f t="array" ref="G858">IF(ISBLANK(D858), "", INDEX(Categories!$B:$B,MATCH(D858,Categories!$A:$A,0)))</f>
        <v>Restaurants</v>
      </c>
      <c r="H858" s="7" t="str">
        <f t="array" ref="H858">IF(ISBLANK(E858), "", INDEX(Categories!$B:$B,MATCH(E858,Categories!$A:$A,0)))</f>
        <v/>
      </c>
      <c r="I858" s="7" t="str">
        <f t="array" ref="I858">IF(ISBLANK(F858), "", INDEX(Categories!$B:$B,MATCH(F858,Categories!$A:$A,0)))</f>
        <v/>
      </c>
      <c r="J858" s="4"/>
      <c r="K858" s="4"/>
      <c r="L858" s="4"/>
      <c r="M858" s="4"/>
      <c r="N858" s="4"/>
      <c r="O858" s="4"/>
      <c r="P858" s="4"/>
      <c r="Q858" s="4"/>
    </row>
    <row r="859">
      <c r="A859" s="5">
        <v>858.0</v>
      </c>
      <c r="B859" s="5" t="s">
        <v>1150</v>
      </c>
      <c r="C859" s="5" t="s">
        <v>34</v>
      </c>
      <c r="D859" s="6">
        <f>IFERROR(__xludf.DUMMYFUNCTION("SPLIT(MID(C859,2,LEN(C859)-2), "","")"),228.0)</f>
        <v>228</v>
      </c>
      <c r="E859" s="7"/>
      <c r="F859" s="7"/>
      <c r="G859" s="2" t="str">
        <f t="array" ref="G859">IF(ISBLANK(D859), "", INDEX(Categories!$B:$B,MATCH(D859,Categories!$A:$A,0)))</f>
        <v>Restaurants</v>
      </c>
      <c r="H859" s="7" t="str">
        <f t="array" ref="H859">IF(ISBLANK(E859), "", INDEX(Categories!$B:$B,MATCH(E859,Categories!$A:$A,0)))</f>
        <v/>
      </c>
      <c r="I859" s="7" t="str">
        <f t="array" ref="I859">IF(ISBLANK(F859), "", INDEX(Categories!$B:$B,MATCH(F859,Categories!$A:$A,0)))</f>
        <v/>
      </c>
      <c r="J859" s="4"/>
      <c r="K859" s="4"/>
      <c r="L859" s="4"/>
      <c r="M859" s="4"/>
      <c r="N859" s="4"/>
      <c r="O859" s="4"/>
      <c r="P859" s="4"/>
      <c r="Q859" s="4"/>
    </row>
    <row r="860">
      <c r="A860" s="5">
        <v>859.0</v>
      </c>
      <c r="B860" s="5" t="s">
        <v>1151</v>
      </c>
      <c r="C860" s="5" t="s">
        <v>87</v>
      </c>
      <c r="D860" s="6">
        <f>IFERROR(__xludf.DUMMYFUNCTION("SPLIT(MID(C860,2,LEN(C860)-2), "","")"),168.0)</f>
        <v>168</v>
      </c>
      <c r="E860" s="7"/>
      <c r="F860" s="7"/>
      <c r="G860" s="2" t="str">
        <f t="array" ref="G860">IF(ISBLANK(D860), "", INDEX(Categories!$B:$B,MATCH(D860,Categories!$A:$A,0)))</f>
        <v>Hotels &amp; Motels</v>
      </c>
      <c r="H860" s="7" t="str">
        <f t="array" ref="H860">IF(ISBLANK(E860), "", INDEX(Categories!$B:$B,MATCH(E860,Categories!$A:$A,0)))</f>
        <v/>
      </c>
      <c r="I860" s="7" t="str">
        <f t="array" ref="I860">IF(ISBLANK(F860), "", INDEX(Categories!$B:$B,MATCH(F860,Categories!$A:$A,0)))</f>
        <v/>
      </c>
      <c r="J860" s="4"/>
      <c r="K860" s="4"/>
      <c r="L860" s="4"/>
      <c r="M860" s="4"/>
      <c r="N860" s="4"/>
      <c r="O860" s="4"/>
      <c r="P860" s="4"/>
      <c r="Q860" s="4"/>
    </row>
    <row r="861">
      <c r="A861" s="5">
        <v>860.0</v>
      </c>
      <c r="B861" s="5" t="s">
        <v>1152</v>
      </c>
      <c r="C861" s="5" t="s">
        <v>87</v>
      </c>
      <c r="D861" s="6">
        <f>IFERROR(__xludf.DUMMYFUNCTION("SPLIT(MID(C861,2,LEN(C861)-2), "","")"),168.0)</f>
        <v>168</v>
      </c>
      <c r="E861" s="7"/>
      <c r="F861" s="7"/>
      <c r="G861" s="2" t="str">
        <f t="array" ref="G861">IF(ISBLANK(D861), "", INDEX(Categories!$B:$B,MATCH(D861,Categories!$A:$A,0)))</f>
        <v>Hotels &amp; Motels</v>
      </c>
      <c r="H861" s="7" t="str">
        <f t="array" ref="H861">IF(ISBLANK(E861), "", INDEX(Categories!$B:$B,MATCH(E861,Categories!$A:$A,0)))</f>
        <v/>
      </c>
      <c r="I861" s="7" t="str">
        <f t="array" ref="I861">IF(ISBLANK(F861), "", INDEX(Categories!$B:$B,MATCH(F861,Categories!$A:$A,0)))</f>
        <v/>
      </c>
      <c r="J861" s="4"/>
      <c r="K861" s="4"/>
      <c r="L861" s="4"/>
      <c r="M861" s="4"/>
      <c r="N861" s="4"/>
      <c r="O861" s="4"/>
      <c r="P861" s="4"/>
      <c r="Q861" s="4"/>
    </row>
    <row r="862">
      <c r="A862" s="5">
        <v>861.0</v>
      </c>
      <c r="B862" s="5" t="s">
        <v>1153</v>
      </c>
      <c r="C862" s="5" t="s">
        <v>1154</v>
      </c>
      <c r="D862" s="6">
        <f>IFERROR(__xludf.DUMMYFUNCTION("SPLIT(MID(C862,2,LEN(C862)-2), "","")"),165.0)</f>
        <v>165</v>
      </c>
      <c r="E862" s="7"/>
      <c r="F862" s="7"/>
      <c r="G862" s="2" t="str">
        <f t="array" ref="G862">IF(ISBLANK(D862), "", INDEX(Categories!$B:$B,MATCH(D862,Categories!$A:$A,0)))</f>
        <v>Hostels</v>
      </c>
      <c r="H862" s="7" t="str">
        <f t="array" ref="H862">IF(ISBLANK(E862), "", INDEX(Categories!$B:$B,MATCH(E862,Categories!$A:$A,0)))</f>
        <v/>
      </c>
      <c r="I862" s="7" t="str">
        <f t="array" ref="I862">IF(ISBLANK(F862), "", INDEX(Categories!$B:$B,MATCH(F862,Categories!$A:$A,0)))</f>
        <v/>
      </c>
      <c r="J862" s="4"/>
      <c r="K862" s="4"/>
      <c r="L862" s="4"/>
      <c r="M862" s="4"/>
      <c r="N862" s="4"/>
      <c r="O862" s="4"/>
      <c r="P862" s="4"/>
      <c r="Q862" s="4"/>
    </row>
    <row r="863">
      <c r="A863" s="5">
        <v>862.0</v>
      </c>
      <c r="B863" s="5" t="s">
        <v>1155</v>
      </c>
      <c r="C863" s="5" t="s">
        <v>1156</v>
      </c>
      <c r="D863" s="6">
        <f>IFERROR(__xludf.DUMMYFUNCTION("SPLIT(MID(C863,2,LEN(C863)-2), "","")"),511.0)</f>
        <v>511</v>
      </c>
      <c r="E863" s="7"/>
      <c r="F863" s="7"/>
      <c r="G863" s="2" t="str">
        <f t="array" ref="G863">IF(ISBLANK(D863), "", INDEX(Categories!$B:$B,MATCH(D863,Categories!$A:$A,0)))</f>
        <v>Physicians - General</v>
      </c>
      <c r="H863" s="7" t="str">
        <f t="array" ref="H863">IF(ISBLANK(E863), "", INDEX(Categories!$B:$B,MATCH(E863,Categories!$A:$A,0)))</f>
        <v/>
      </c>
      <c r="I863" s="7" t="str">
        <f t="array" ref="I863">IF(ISBLANK(F863), "", INDEX(Categories!$B:$B,MATCH(F863,Categories!$A:$A,0)))</f>
        <v/>
      </c>
      <c r="J863" s="4"/>
      <c r="K863" s="4"/>
      <c r="L863" s="4"/>
      <c r="M863" s="4"/>
      <c r="N863" s="4"/>
      <c r="O863" s="4"/>
      <c r="P863" s="4"/>
      <c r="Q863" s="4"/>
    </row>
    <row r="864">
      <c r="A864" s="5">
        <v>863.0</v>
      </c>
      <c r="B864" s="5" t="s">
        <v>1157</v>
      </c>
      <c r="C864" s="5" t="s">
        <v>1158</v>
      </c>
      <c r="D864" s="6">
        <f>IFERROR(__xludf.DUMMYFUNCTION("SPLIT(MID(C864,2,LEN(C864)-2), "","")"),2815.0)</f>
        <v>2815</v>
      </c>
      <c r="E864" s="7"/>
      <c r="F864" s="7"/>
      <c r="G864" s="2" t="str">
        <f t="array" ref="G864">IF(ISBLANK(D864), "", INDEX(Categories!$B:$B,MATCH(D864,Categories!$A:$A,0)))</f>
        <v>Hospitals, Clinics &amp; Medical Centers</v>
      </c>
      <c r="H864" s="7" t="str">
        <f t="array" ref="H864">IF(ISBLANK(E864), "", INDEX(Categories!$B:$B,MATCH(E864,Categories!$A:$A,0)))</f>
        <v/>
      </c>
      <c r="I864" s="7" t="str">
        <f t="array" ref="I864">IF(ISBLANK(F864), "", INDEX(Categories!$B:$B,MATCH(F864,Categories!$A:$A,0)))</f>
        <v/>
      </c>
      <c r="J864" s="4"/>
      <c r="K864" s="4"/>
      <c r="L864" s="4"/>
      <c r="M864" s="4"/>
      <c r="N864" s="4"/>
      <c r="O864" s="4"/>
      <c r="P864" s="4"/>
      <c r="Q864" s="4"/>
    </row>
    <row r="865">
      <c r="A865" s="5">
        <v>864.0</v>
      </c>
      <c r="B865" s="5" t="s">
        <v>1159</v>
      </c>
      <c r="C865" s="5" t="s">
        <v>1158</v>
      </c>
      <c r="D865" s="6">
        <f>IFERROR(__xludf.DUMMYFUNCTION("SPLIT(MID(C865,2,LEN(C865)-2), "","")"),2815.0)</f>
        <v>2815</v>
      </c>
      <c r="E865" s="7"/>
      <c r="F865" s="7"/>
      <c r="G865" s="2" t="str">
        <f t="array" ref="G865">IF(ISBLANK(D865), "", INDEX(Categories!$B:$B,MATCH(D865,Categories!$A:$A,0)))</f>
        <v>Hospitals, Clinics &amp; Medical Centers</v>
      </c>
      <c r="H865" s="7" t="str">
        <f t="array" ref="H865">IF(ISBLANK(E865), "", INDEX(Categories!$B:$B,MATCH(E865,Categories!$A:$A,0)))</f>
        <v/>
      </c>
      <c r="I865" s="7" t="str">
        <f t="array" ref="I865">IF(ISBLANK(F865), "", INDEX(Categories!$B:$B,MATCH(F865,Categories!$A:$A,0)))</f>
        <v/>
      </c>
      <c r="J865" s="4"/>
      <c r="K865" s="4"/>
      <c r="L865" s="4"/>
      <c r="M865" s="4"/>
      <c r="N865" s="4"/>
      <c r="O865" s="4"/>
      <c r="P865" s="4"/>
      <c r="Q865" s="4"/>
    </row>
    <row r="866">
      <c r="A866" s="5">
        <v>865.0</v>
      </c>
      <c r="B866" s="5" t="s">
        <v>1160</v>
      </c>
      <c r="C866" s="5" t="s">
        <v>125</v>
      </c>
      <c r="D866" s="6">
        <f>IFERROR(__xludf.DUMMYFUNCTION("SPLIT(MID(C866,2,LEN(C866)-2), "","")"),423.0)</f>
        <v>423</v>
      </c>
      <c r="E866" s="7"/>
      <c r="F866" s="7"/>
      <c r="G866" s="2" t="str">
        <f t="array" ref="G866">IF(ISBLANK(D866), "", INDEX(Categories!$B:$B,MATCH(D866,Categories!$A:$A,0)))</f>
        <v>Religious Organizations</v>
      </c>
      <c r="H866" s="7" t="str">
        <f t="array" ref="H866">IF(ISBLANK(E866), "", INDEX(Categories!$B:$B,MATCH(E866,Categories!$A:$A,0)))</f>
        <v/>
      </c>
      <c r="I866" s="7" t="str">
        <f t="array" ref="I866">IF(ISBLANK(F866), "", INDEX(Categories!$B:$B,MATCH(F866,Categories!$A:$A,0)))</f>
        <v/>
      </c>
      <c r="J866" s="4"/>
      <c r="K866" s="4"/>
      <c r="L866" s="4"/>
      <c r="M866" s="4"/>
      <c r="N866" s="4"/>
      <c r="O866" s="4"/>
      <c r="P866" s="4"/>
      <c r="Q866" s="4"/>
    </row>
    <row r="867">
      <c r="A867" s="5">
        <v>866.0</v>
      </c>
      <c r="B867" s="5" t="s">
        <v>1161</v>
      </c>
      <c r="C867" s="5" t="s">
        <v>1162</v>
      </c>
      <c r="D867" s="6">
        <f>IFERROR(__xludf.DUMMYFUNCTION("SPLIT(MID(C867,2,LEN(C867)-2), "","")"),420.0)</f>
        <v>420</v>
      </c>
      <c r="E867" s="7"/>
      <c r="F867" s="7"/>
      <c r="G867" s="2" t="str">
        <f t="array" ref="G867">IF(ISBLANK(D867), "", INDEX(Categories!$B:$B,MATCH(D867,Categories!$A:$A,0)))</f>
        <v>Convents &amp; Monasteries</v>
      </c>
      <c r="H867" s="7" t="str">
        <f t="array" ref="H867">IF(ISBLANK(E867), "", INDEX(Categories!$B:$B,MATCH(E867,Categories!$A:$A,0)))</f>
        <v/>
      </c>
      <c r="I867" s="7" t="str">
        <f t="array" ref="I867">IF(ISBLANK(F867), "", INDEX(Categories!$B:$B,MATCH(F867,Categories!$A:$A,0)))</f>
        <v/>
      </c>
      <c r="J867" s="4"/>
      <c r="K867" s="4"/>
      <c r="L867" s="4"/>
      <c r="M867" s="4"/>
      <c r="N867" s="4"/>
      <c r="O867" s="4"/>
      <c r="P867" s="4"/>
      <c r="Q867" s="4"/>
    </row>
    <row r="868">
      <c r="A868" s="5">
        <v>867.0</v>
      </c>
      <c r="B868" s="5" t="s">
        <v>1163</v>
      </c>
      <c r="C868" s="5" t="s">
        <v>225</v>
      </c>
      <c r="D868" s="6">
        <f>IFERROR(__xludf.DUMMYFUNCTION("SPLIT(MID(C868,2,LEN(C868)-2), "","")"),370.0)</f>
        <v>370</v>
      </c>
      <c r="E868" s="7"/>
      <c r="F868" s="7"/>
      <c r="G868" s="2" t="str">
        <f t="array" ref="G868">IF(ISBLANK(D868), "", INDEX(Categories!$B:$B,MATCH(D868,Categories!$A:$A,0)))</f>
        <v>Churches</v>
      </c>
      <c r="H868" s="7" t="str">
        <f t="array" ref="H868">IF(ISBLANK(E868), "", INDEX(Categories!$B:$B,MATCH(E868,Categories!$A:$A,0)))</f>
        <v/>
      </c>
      <c r="I868" s="7" t="str">
        <f t="array" ref="I868">IF(ISBLANK(F868), "", INDEX(Categories!$B:$B,MATCH(F868,Categories!$A:$A,0)))</f>
        <v/>
      </c>
      <c r="J868" s="4"/>
      <c r="K868" s="4"/>
      <c r="L868" s="4"/>
      <c r="M868" s="4"/>
      <c r="N868" s="4"/>
      <c r="O868" s="4"/>
      <c r="P868" s="4"/>
      <c r="Q868" s="4"/>
    </row>
    <row r="869">
      <c r="A869" s="5">
        <v>868.0</v>
      </c>
      <c r="B869" s="5" t="s">
        <v>1164</v>
      </c>
      <c r="C869" s="5" t="s">
        <v>1162</v>
      </c>
      <c r="D869" s="6">
        <f>IFERROR(__xludf.DUMMYFUNCTION("SPLIT(MID(C869,2,LEN(C869)-2), "","")"),420.0)</f>
        <v>420</v>
      </c>
      <c r="E869" s="7"/>
      <c r="F869" s="7"/>
      <c r="G869" s="2" t="str">
        <f t="array" ref="G869">IF(ISBLANK(D869), "", INDEX(Categories!$B:$B,MATCH(D869,Categories!$A:$A,0)))</f>
        <v>Convents &amp; Monasteries</v>
      </c>
      <c r="H869" s="7" t="str">
        <f t="array" ref="H869">IF(ISBLANK(E869), "", INDEX(Categories!$B:$B,MATCH(E869,Categories!$A:$A,0)))</f>
        <v/>
      </c>
      <c r="I869" s="7" t="str">
        <f t="array" ref="I869">IF(ISBLANK(F869), "", INDEX(Categories!$B:$B,MATCH(F869,Categories!$A:$A,0)))</f>
        <v/>
      </c>
      <c r="J869" s="4"/>
      <c r="K869" s="4"/>
      <c r="L869" s="4"/>
      <c r="M869" s="4"/>
      <c r="N869" s="4"/>
      <c r="O869" s="4"/>
      <c r="P869" s="4"/>
      <c r="Q869" s="4"/>
    </row>
    <row r="870">
      <c r="A870" s="5">
        <v>869.0</v>
      </c>
      <c r="B870" s="5" t="s">
        <v>1165</v>
      </c>
      <c r="C870" s="5" t="s">
        <v>1166</v>
      </c>
      <c r="D870" s="6">
        <f>IFERROR(__xludf.DUMMYFUNCTION("SPLIT(MID(C870,2,LEN(C870)-2), "","")"),1.0)</f>
        <v>1</v>
      </c>
      <c r="E870" s="7"/>
      <c r="F870" s="7"/>
      <c r="G870" s="2" t="str">
        <f t="array" ref="G870">IF(ISBLANK(D870), "", INDEX(Categories!$B:$B,MATCH(D870,Categories!$A:$A,0)))</f>
        <v>Automobile - Dealers</v>
      </c>
      <c r="H870" s="7" t="str">
        <f t="array" ref="H870">IF(ISBLANK(E870), "", INDEX(Categories!$B:$B,MATCH(E870,Categories!$A:$A,0)))</f>
        <v/>
      </c>
      <c r="I870" s="7" t="str">
        <f t="array" ref="I870">IF(ISBLANK(F870), "", INDEX(Categories!$B:$B,MATCH(F870,Categories!$A:$A,0)))</f>
        <v/>
      </c>
      <c r="J870" s="4"/>
      <c r="K870" s="4"/>
      <c r="L870" s="4"/>
      <c r="M870" s="4"/>
      <c r="N870" s="4"/>
      <c r="O870" s="4"/>
      <c r="P870" s="4"/>
      <c r="Q870" s="4"/>
    </row>
    <row r="871">
      <c r="A871" s="5">
        <v>870.0</v>
      </c>
      <c r="B871" s="5" t="s">
        <v>1167</v>
      </c>
      <c r="C871" s="5" t="s">
        <v>1168</v>
      </c>
      <c r="D871" s="6">
        <f>IFERROR(__xludf.DUMMYFUNCTION("SPLIT(MID(C871,2,LEN(C871)-2), "","")"),4.0)</f>
        <v>4</v>
      </c>
      <c r="E871" s="7"/>
      <c r="F871" s="7"/>
      <c r="G871" s="2" t="str">
        <f t="array" ref="G871">IF(ISBLANK(D871), "", INDEX(Categories!$B:$B,MATCH(D871,Categories!$A:$A,0)))</f>
        <v>Automobile Dealers Used Cars &amp; Vans</v>
      </c>
      <c r="H871" s="7" t="str">
        <f t="array" ref="H871">IF(ISBLANK(E871), "", INDEX(Categories!$B:$B,MATCH(E871,Categories!$A:$A,0)))</f>
        <v/>
      </c>
      <c r="I871" s="7" t="str">
        <f t="array" ref="I871">IF(ISBLANK(F871), "", INDEX(Categories!$B:$B,MATCH(F871,Categories!$A:$A,0)))</f>
        <v/>
      </c>
      <c r="J871" s="4"/>
      <c r="K871" s="4"/>
      <c r="L871" s="4"/>
      <c r="M871" s="4"/>
      <c r="N871" s="4"/>
      <c r="O871" s="4"/>
      <c r="P871" s="4"/>
      <c r="Q871" s="4"/>
    </row>
    <row r="872">
      <c r="A872" s="5">
        <v>871.0</v>
      </c>
      <c r="B872" s="5" t="s">
        <v>1169</v>
      </c>
      <c r="C872" s="5" t="s">
        <v>1170</v>
      </c>
      <c r="D872" s="6">
        <f>IFERROR(__xludf.DUMMYFUNCTION("SPLIT(MID(C872,2,LEN(C872)-2), "","")"),1783.0)</f>
        <v>1783</v>
      </c>
      <c r="E872" s="7"/>
      <c r="F872" s="7"/>
      <c r="G872" s="2" t="str">
        <f t="array" ref="G872">IF(ISBLANK(D872), "", INDEX(Categories!$B:$B,MATCH(D872,Categories!$A:$A,0)))</f>
        <v>Legal Services</v>
      </c>
      <c r="H872" s="7" t="str">
        <f t="array" ref="H872">IF(ISBLANK(E872), "", INDEX(Categories!$B:$B,MATCH(E872,Categories!$A:$A,0)))</f>
        <v/>
      </c>
      <c r="I872" s="7" t="str">
        <f t="array" ref="I872">IF(ISBLANK(F872), "", INDEX(Categories!$B:$B,MATCH(F872,Categories!$A:$A,0)))</f>
        <v/>
      </c>
      <c r="J872" s="4"/>
      <c r="K872" s="4"/>
      <c r="L872" s="4"/>
      <c r="M872" s="4"/>
      <c r="N872" s="4"/>
      <c r="O872" s="4"/>
      <c r="P872" s="4"/>
      <c r="Q872" s="4"/>
    </row>
    <row r="873">
      <c r="A873" s="5">
        <v>872.0</v>
      </c>
      <c r="B873" s="5" t="s">
        <v>1171</v>
      </c>
      <c r="C873" s="5" t="s">
        <v>1170</v>
      </c>
      <c r="D873" s="6">
        <f>IFERROR(__xludf.DUMMYFUNCTION("SPLIT(MID(C873,2,LEN(C873)-2), "","")"),1783.0)</f>
        <v>1783</v>
      </c>
      <c r="E873" s="7"/>
      <c r="F873" s="7"/>
      <c r="G873" s="2" t="str">
        <f t="array" ref="G873">IF(ISBLANK(D873), "", INDEX(Categories!$B:$B,MATCH(D873,Categories!$A:$A,0)))</f>
        <v>Legal Services</v>
      </c>
      <c r="H873" s="7" t="str">
        <f t="array" ref="H873">IF(ISBLANK(E873), "", INDEX(Categories!$B:$B,MATCH(E873,Categories!$A:$A,0)))</f>
        <v/>
      </c>
      <c r="I873" s="7" t="str">
        <f t="array" ref="I873">IF(ISBLANK(F873), "", INDEX(Categories!$B:$B,MATCH(F873,Categories!$A:$A,0)))</f>
        <v/>
      </c>
      <c r="J873" s="4"/>
      <c r="K873" s="4"/>
      <c r="L873" s="4"/>
      <c r="M873" s="4"/>
      <c r="N873" s="4"/>
      <c r="O873" s="4"/>
      <c r="P873" s="4"/>
      <c r="Q873" s="4"/>
    </row>
    <row r="874">
      <c r="A874" s="5">
        <v>873.0</v>
      </c>
      <c r="B874" s="5" t="s">
        <v>1172</v>
      </c>
      <c r="C874" s="5" t="s">
        <v>1170</v>
      </c>
      <c r="D874" s="6">
        <f>IFERROR(__xludf.DUMMYFUNCTION("SPLIT(MID(C874,2,LEN(C874)-2), "","")"),1783.0)</f>
        <v>1783</v>
      </c>
      <c r="E874" s="7"/>
      <c r="F874" s="7"/>
      <c r="G874" s="2" t="str">
        <f t="array" ref="G874">IF(ISBLANK(D874), "", INDEX(Categories!$B:$B,MATCH(D874,Categories!$A:$A,0)))</f>
        <v>Legal Services</v>
      </c>
      <c r="H874" s="7" t="str">
        <f t="array" ref="H874">IF(ISBLANK(E874), "", INDEX(Categories!$B:$B,MATCH(E874,Categories!$A:$A,0)))</f>
        <v/>
      </c>
      <c r="I874" s="7" t="str">
        <f t="array" ref="I874">IF(ISBLANK(F874), "", INDEX(Categories!$B:$B,MATCH(F874,Categories!$A:$A,0)))</f>
        <v/>
      </c>
      <c r="J874" s="4"/>
      <c r="K874" s="4"/>
      <c r="L874" s="4"/>
      <c r="M874" s="4"/>
      <c r="N874" s="4"/>
      <c r="O874" s="4"/>
      <c r="P874" s="4"/>
      <c r="Q874" s="4"/>
    </row>
    <row r="875">
      <c r="A875" s="5">
        <v>874.0</v>
      </c>
      <c r="B875" s="5" t="s">
        <v>1173</v>
      </c>
      <c r="C875" s="5" t="s">
        <v>1174</v>
      </c>
      <c r="D875" s="6">
        <f>IFERROR(__xludf.DUMMYFUNCTION("SPLIT(MID(C875,2,LEN(C875)-2), "","")"),1784.0)</f>
        <v>1784</v>
      </c>
      <c r="E875" s="7"/>
      <c r="F875" s="7"/>
      <c r="G875" s="2" t="str">
        <f t="array" ref="G875">IF(ISBLANK(D875), "", INDEX(Categories!$B:$B,MATCH(D875,Categories!$A:$A,0)))</f>
        <v>Attorneys</v>
      </c>
      <c r="H875" s="7" t="str">
        <f t="array" ref="H875">IF(ISBLANK(E875), "", INDEX(Categories!$B:$B,MATCH(E875,Categories!$A:$A,0)))</f>
        <v/>
      </c>
      <c r="I875" s="7" t="str">
        <f t="array" ref="I875">IF(ISBLANK(F875), "", INDEX(Categories!$B:$B,MATCH(F875,Categories!$A:$A,0)))</f>
        <v/>
      </c>
      <c r="J875" s="4"/>
      <c r="K875" s="4"/>
      <c r="L875" s="4"/>
      <c r="M875" s="4"/>
      <c r="N875" s="4"/>
      <c r="O875" s="4"/>
      <c r="P875" s="4"/>
      <c r="Q875" s="4"/>
    </row>
    <row r="876">
      <c r="A876" s="5">
        <v>875.0</v>
      </c>
      <c r="B876" s="5" t="s">
        <v>1175</v>
      </c>
      <c r="C876" s="5" t="s">
        <v>1174</v>
      </c>
      <c r="D876" s="6">
        <f>IFERROR(__xludf.DUMMYFUNCTION("SPLIT(MID(C876,2,LEN(C876)-2), "","")"),1784.0)</f>
        <v>1784</v>
      </c>
      <c r="E876" s="7"/>
      <c r="F876" s="7"/>
      <c r="G876" s="2" t="str">
        <f t="array" ref="G876">IF(ISBLANK(D876), "", INDEX(Categories!$B:$B,MATCH(D876,Categories!$A:$A,0)))</f>
        <v>Attorneys</v>
      </c>
      <c r="H876" s="7" t="str">
        <f t="array" ref="H876">IF(ISBLANK(E876), "", INDEX(Categories!$B:$B,MATCH(E876,Categories!$A:$A,0)))</f>
        <v/>
      </c>
      <c r="I876" s="7" t="str">
        <f t="array" ref="I876">IF(ISBLANK(F876), "", INDEX(Categories!$B:$B,MATCH(F876,Categories!$A:$A,0)))</f>
        <v/>
      </c>
      <c r="J876" s="4"/>
      <c r="K876" s="4"/>
      <c r="L876" s="4"/>
      <c r="M876" s="4"/>
      <c r="N876" s="4"/>
      <c r="O876" s="4"/>
      <c r="P876" s="4"/>
      <c r="Q876" s="4"/>
    </row>
    <row r="877">
      <c r="A877" s="5">
        <v>876.0</v>
      </c>
      <c r="B877" s="5" t="s">
        <v>1176</v>
      </c>
      <c r="C877" s="5" t="s">
        <v>212</v>
      </c>
      <c r="D877" s="6">
        <f>IFERROR(__xludf.DUMMYFUNCTION("SPLIT(MID(C877,2,LEN(C877)-2), "","")"),446.0)</f>
        <v>446</v>
      </c>
      <c r="E877" s="7"/>
      <c r="F877" s="7"/>
      <c r="G877" s="2" t="str">
        <f t="array" ref="G877">IF(ISBLANK(D877), "", INDEX(Categories!$B:$B,MATCH(D877,Categories!$A:$A,0)))</f>
        <v>Beauty Salons</v>
      </c>
      <c r="H877" s="7" t="str">
        <f t="array" ref="H877">IF(ISBLANK(E877), "", INDEX(Categories!$B:$B,MATCH(E877,Categories!$A:$A,0)))</f>
        <v/>
      </c>
      <c r="I877" s="7" t="str">
        <f t="array" ref="I877">IF(ISBLANK(F877), "", INDEX(Categories!$B:$B,MATCH(F877,Categories!$A:$A,0)))</f>
        <v/>
      </c>
      <c r="J877" s="4"/>
      <c r="K877" s="4"/>
      <c r="L877" s="4"/>
      <c r="M877" s="4"/>
      <c r="N877" s="4"/>
      <c r="O877" s="4"/>
      <c r="P877" s="4"/>
      <c r="Q877" s="4"/>
    </row>
    <row r="878">
      <c r="A878" s="5">
        <v>877.0</v>
      </c>
      <c r="B878" s="5" t="s">
        <v>1177</v>
      </c>
      <c r="C878" s="5" t="s">
        <v>212</v>
      </c>
      <c r="D878" s="6">
        <f>IFERROR(__xludf.DUMMYFUNCTION("SPLIT(MID(C878,2,LEN(C878)-2), "","")"),446.0)</f>
        <v>446</v>
      </c>
      <c r="E878" s="7"/>
      <c r="F878" s="7"/>
      <c r="G878" s="2" t="str">
        <f t="array" ref="G878">IF(ISBLANK(D878), "", INDEX(Categories!$B:$B,MATCH(D878,Categories!$A:$A,0)))</f>
        <v>Beauty Salons</v>
      </c>
      <c r="H878" s="7" t="str">
        <f t="array" ref="H878">IF(ISBLANK(E878), "", INDEX(Categories!$B:$B,MATCH(E878,Categories!$A:$A,0)))</f>
        <v/>
      </c>
      <c r="I878" s="7" t="str">
        <f t="array" ref="I878">IF(ISBLANK(F878), "", INDEX(Categories!$B:$B,MATCH(F878,Categories!$A:$A,0)))</f>
        <v/>
      </c>
      <c r="J878" s="4"/>
      <c r="K878" s="4"/>
      <c r="L878" s="4"/>
      <c r="M878" s="4"/>
      <c r="N878" s="4"/>
      <c r="O878" s="4"/>
      <c r="P878" s="4"/>
      <c r="Q878" s="4"/>
    </row>
    <row r="879">
      <c r="A879" s="5">
        <v>878.0</v>
      </c>
      <c r="B879" s="5" t="s">
        <v>1178</v>
      </c>
      <c r="C879" s="5" t="s">
        <v>212</v>
      </c>
      <c r="D879" s="6">
        <f>IFERROR(__xludf.DUMMYFUNCTION("SPLIT(MID(C879,2,LEN(C879)-2), "","")"),446.0)</f>
        <v>446</v>
      </c>
      <c r="E879" s="7"/>
      <c r="F879" s="7"/>
      <c r="G879" s="2" t="str">
        <f t="array" ref="G879">IF(ISBLANK(D879), "", INDEX(Categories!$B:$B,MATCH(D879,Categories!$A:$A,0)))</f>
        <v>Beauty Salons</v>
      </c>
      <c r="H879" s="7" t="str">
        <f t="array" ref="H879">IF(ISBLANK(E879), "", INDEX(Categories!$B:$B,MATCH(E879,Categories!$A:$A,0)))</f>
        <v/>
      </c>
      <c r="I879" s="7" t="str">
        <f t="array" ref="I879">IF(ISBLANK(F879), "", INDEX(Categories!$B:$B,MATCH(F879,Categories!$A:$A,0)))</f>
        <v/>
      </c>
      <c r="J879" s="4"/>
      <c r="K879" s="4"/>
      <c r="L879" s="4"/>
      <c r="M879" s="4"/>
      <c r="N879" s="4"/>
      <c r="O879" s="4"/>
      <c r="P879" s="4"/>
      <c r="Q879" s="4"/>
    </row>
    <row r="880">
      <c r="A880" s="5">
        <v>879.0</v>
      </c>
      <c r="B880" s="5" t="s">
        <v>1179</v>
      </c>
      <c r="C880" s="5" t="s">
        <v>111</v>
      </c>
      <c r="D880" s="6">
        <f>IFERROR(__xludf.DUMMYFUNCTION("SPLIT(MID(C880,2,LEN(C880)-2), "","")"),444.0)</f>
        <v>444</v>
      </c>
      <c r="E880" s="7"/>
      <c r="F880" s="7"/>
      <c r="G880" s="2" t="str">
        <f t="array" ref="G880">IF(ISBLANK(D880), "", INDEX(Categories!$B:$B,MATCH(D880,Categories!$A:$A,0)))</f>
        <v>Hair Salons &amp; Barbers</v>
      </c>
      <c r="H880" s="7" t="str">
        <f t="array" ref="H880">IF(ISBLANK(E880), "", INDEX(Categories!$B:$B,MATCH(E880,Categories!$A:$A,0)))</f>
        <v/>
      </c>
      <c r="I880" s="7" t="str">
        <f t="array" ref="I880">IF(ISBLANK(F880), "", INDEX(Categories!$B:$B,MATCH(F880,Categories!$A:$A,0)))</f>
        <v/>
      </c>
      <c r="J880" s="4"/>
      <c r="K880" s="4"/>
      <c r="L880" s="4"/>
      <c r="M880" s="4"/>
      <c r="N880" s="4"/>
      <c r="O880" s="4"/>
      <c r="P880" s="4"/>
      <c r="Q880" s="4"/>
    </row>
    <row r="881">
      <c r="A881" s="5">
        <v>880.0</v>
      </c>
      <c r="B881" s="5" t="s">
        <v>1180</v>
      </c>
      <c r="C881" s="5" t="s">
        <v>1138</v>
      </c>
      <c r="D881" s="6">
        <f>IFERROR(__xludf.DUMMYFUNCTION("SPLIT(MID(C881,2,LEN(C881)-2), "","")"),116.0)</f>
        <v>116</v>
      </c>
      <c r="E881" s="7"/>
      <c r="F881" s="7"/>
      <c r="G881" s="2" t="str">
        <f t="array" ref="G881">IF(ISBLANK(D881), "", INDEX(Categories!$B:$B,MATCH(D881,Categories!$A:$A,0)))</f>
        <v>Florists</v>
      </c>
      <c r="H881" s="7" t="str">
        <f t="array" ref="H881">IF(ISBLANK(E881), "", INDEX(Categories!$B:$B,MATCH(E881,Categories!$A:$A,0)))</f>
        <v/>
      </c>
      <c r="I881" s="7" t="str">
        <f t="array" ref="I881">IF(ISBLANK(F881), "", INDEX(Categories!$B:$B,MATCH(F881,Categories!$A:$A,0)))</f>
        <v/>
      </c>
      <c r="J881" s="4"/>
      <c r="K881" s="4"/>
      <c r="L881" s="4"/>
      <c r="M881" s="4"/>
      <c r="N881" s="4"/>
      <c r="O881" s="4"/>
      <c r="P881" s="4"/>
      <c r="Q881" s="4"/>
    </row>
    <row r="882">
      <c r="A882" s="5">
        <v>881.0</v>
      </c>
      <c r="B882" s="5" t="s">
        <v>1181</v>
      </c>
      <c r="C882" s="5" t="s">
        <v>38</v>
      </c>
      <c r="D882" s="6">
        <f>IFERROR(__xludf.DUMMYFUNCTION("SPLIT(MID(C882,2,LEN(C882)-2), "","")"),933.0)</f>
        <v>933</v>
      </c>
      <c r="E882" s="7"/>
      <c r="F882" s="7"/>
      <c r="G882" s="2" t="str">
        <f t="array" ref="G882">IF(ISBLANK(D882), "", INDEX(Categories!$B:$B,MATCH(D882,Categories!$A:$A,0)))</f>
        <v>Loans &amp; Mortgages</v>
      </c>
      <c r="H882" s="7" t="str">
        <f t="array" ref="H882">IF(ISBLANK(E882), "", INDEX(Categories!$B:$B,MATCH(E882,Categories!$A:$A,0)))</f>
        <v/>
      </c>
      <c r="I882" s="7" t="str">
        <f t="array" ref="I882">IF(ISBLANK(F882), "", INDEX(Categories!$B:$B,MATCH(F882,Categories!$A:$A,0)))</f>
        <v/>
      </c>
      <c r="J882" s="4"/>
      <c r="K882" s="4"/>
      <c r="L882" s="4"/>
      <c r="M882" s="4"/>
      <c r="N882" s="4"/>
      <c r="O882" s="4"/>
      <c r="P882" s="4"/>
      <c r="Q882" s="4"/>
    </row>
    <row r="883">
      <c r="A883" s="5">
        <v>882.0</v>
      </c>
      <c r="B883" s="5" t="s">
        <v>1182</v>
      </c>
      <c r="C883" s="5" t="s">
        <v>69</v>
      </c>
      <c r="D883" s="6">
        <f>IFERROR(__xludf.DUMMYFUNCTION("SPLIT(MID(C883,2,LEN(C883)-2), "","")"),293.0)</f>
        <v>293</v>
      </c>
      <c r="E883" s="7"/>
      <c r="F883" s="7"/>
      <c r="G883" s="2" t="str">
        <f t="array" ref="G883">IF(ISBLANK(D883), "", INDEX(Categories!$B:$B,MATCH(D883,Categories!$A:$A,0)))</f>
        <v>Banks Commercial</v>
      </c>
      <c r="H883" s="7" t="str">
        <f t="array" ref="H883">IF(ISBLANK(E883), "", INDEX(Categories!$B:$B,MATCH(E883,Categories!$A:$A,0)))</f>
        <v/>
      </c>
      <c r="I883" s="7" t="str">
        <f t="array" ref="I883">IF(ISBLANK(F883), "", INDEX(Categories!$B:$B,MATCH(F883,Categories!$A:$A,0)))</f>
        <v/>
      </c>
      <c r="J883" s="4"/>
      <c r="K883" s="4"/>
      <c r="L883" s="4"/>
      <c r="M883" s="4"/>
      <c r="N883" s="4"/>
      <c r="O883" s="4"/>
      <c r="P883" s="4"/>
      <c r="Q883" s="4"/>
    </row>
    <row r="884">
      <c r="A884" s="5">
        <v>883.0</v>
      </c>
      <c r="B884" s="5" t="s">
        <v>1183</v>
      </c>
      <c r="C884" s="5" t="s">
        <v>69</v>
      </c>
      <c r="D884" s="6">
        <f>IFERROR(__xludf.DUMMYFUNCTION("SPLIT(MID(C884,2,LEN(C884)-2), "","")"),293.0)</f>
        <v>293</v>
      </c>
      <c r="E884" s="7"/>
      <c r="F884" s="7"/>
      <c r="G884" s="2" t="str">
        <f t="array" ref="G884">IF(ISBLANK(D884), "", INDEX(Categories!$B:$B,MATCH(D884,Categories!$A:$A,0)))</f>
        <v>Banks Commercial</v>
      </c>
      <c r="H884" s="7" t="str">
        <f t="array" ref="H884">IF(ISBLANK(E884), "", INDEX(Categories!$B:$B,MATCH(E884,Categories!$A:$A,0)))</f>
        <v/>
      </c>
      <c r="I884" s="7" t="str">
        <f t="array" ref="I884">IF(ISBLANK(F884), "", INDEX(Categories!$B:$B,MATCH(F884,Categories!$A:$A,0)))</f>
        <v/>
      </c>
      <c r="J884" s="4"/>
      <c r="K884" s="4"/>
      <c r="L884" s="4"/>
      <c r="M884" s="4"/>
      <c r="N884" s="4"/>
      <c r="O884" s="4"/>
      <c r="P884" s="4"/>
      <c r="Q884" s="4"/>
    </row>
    <row r="885">
      <c r="A885" s="5">
        <v>884.0</v>
      </c>
      <c r="B885" s="5" t="s">
        <v>1184</v>
      </c>
      <c r="C885" s="5" t="s">
        <v>69</v>
      </c>
      <c r="D885" s="6">
        <f>IFERROR(__xludf.DUMMYFUNCTION("SPLIT(MID(C885,2,LEN(C885)-2), "","")"),293.0)</f>
        <v>293</v>
      </c>
      <c r="E885" s="7"/>
      <c r="F885" s="7"/>
      <c r="G885" s="2" t="str">
        <f t="array" ref="G885">IF(ISBLANK(D885), "", INDEX(Categories!$B:$B,MATCH(D885,Categories!$A:$A,0)))</f>
        <v>Banks Commercial</v>
      </c>
      <c r="H885" s="7" t="str">
        <f t="array" ref="H885">IF(ISBLANK(E885), "", INDEX(Categories!$B:$B,MATCH(E885,Categories!$A:$A,0)))</f>
        <v/>
      </c>
      <c r="I885" s="7" t="str">
        <f t="array" ref="I885">IF(ISBLANK(F885), "", INDEX(Categories!$B:$B,MATCH(F885,Categories!$A:$A,0)))</f>
        <v/>
      </c>
      <c r="J885" s="4"/>
      <c r="K885" s="4"/>
      <c r="L885" s="4"/>
      <c r="M885" s="4"/>
      <c r="N885" s="4"/>
      <c r="O885" s="4"/>
      <c r="P885" s="4"/>
      <c r="Q885" s="4"/>
    </row>
    <row r="886">
      <c r="A886" s="5">
        <v>885.0</v>
      </c>
      <c r="B886" s="5" t="s">
        <v>1185</v>
      </c>
      <c r="C886" s="5" t="s">
        <v>69</v>
      </c>
      <c r="D886" s="6">
        <f>IFERROR(__xludf.DUMMYFUNCTION("SPLIT(MID(C886,2,LEN(C886)-2), "","")"),293.0)</f>
        <v>293</v>
      </c>
      <c r="E886" s="7"/>
      <c r="F886" s="7"/>
      <c r="G886" s="2" t="str">
        <f t="array" ref="G886">IF(ISBLANK(D886), "", INDEX(Categories!$B:$B,MATCH(D886,Categories!$A:$A,0)))</f>
        <v>Banks Commercial</v>
      </c>
      <c r="H886" s="7" t="str">
        <f t="array" ref="H886">IF(ISBLANK(E886), "", INDEX(Categories!$B:$B,MATCH(E886,Categories!$A:$A,0)))</f>
        <v/>
      </c>
      <c r="I886" s="7" t="str">
        <f t="array" ref="I886">IF(ISBLANK(F886), "", INDEX(Categories!$B:$B,MATCH(F886,Categories!$A:$A,0)))</f>
        <v/>
      </c>
      <c r="J886" s="4"/>
      <c r="K886" s="4"/>
      <c r="L886" s="4"/>
      <c r="M886" s="4"/>
      <c r="N886" s="4"/>
      <c r="O886" s="4"/>
      <c r="P886" s="4"/>
      <c r="Q886" s="4"/>
    </row>
    <row r="887">
      <c r="A887" s="5">
        <v>886.0</v>
      </c>
      <c r="B887" s="5" t="s">
        <v>1186</v>
      </c>
      <c r="C887" s="5" t="s">
        <v>69</v>
      </c>
      <c r="D887" s="6">
        <f>IFERROR(__xludf.DUMMYFUNCTION("SPLIT(MID(C887,2,LEN(C887)-2), "","")"),293.0)</f>
        <v>293</v>
      </c>
      <c r="E887" s="7"/>
      <c r="F887" s="7"/>
      <c r="G887" s="2" t="str">
        <f t="array" ref="G887">IF(ISBLANK(D887), "", INDEX(Categories!$B:$B,MATCH(D887,Categories!$A:$A,0)))</f>
        <v>Banks Commercial</v>
      </c>
      <c r="H887" s="7" t="str">
        <f t="array" ref="H887">IF(ISBLANK(E887), "", INDEX(Categories!$B:$B,MATCH(E887,Categories!$A:$A,0)))</f>
        <v/>
      </c>
      <c r="I887" s="7" t="str">
        <f t="array" ref="I887">IF(ISBLANK(F887), "", INDEX(Categories!$B:$B,MATCH(F887,Categories!$A:$A,0)))</f>
        <v/>
      </c>
      <c r="J887" s="4"/>
      <c r="K887" s="4"/>
      <c r="L887" s="4"/>
      <c r="M887" s="4"/>
      <c r="N887" s="4"/>
      <c r="O887" s="4"/>
      <c r="P887" s="4"/>
      <c r="Q887" s="4"/>
    </row>
    <row r="888">
      <c r="A888" s="5">
        <v>887.0</v>
      </c>
      <c r="B888" s="5" t="s">
        <v>1187</v>
      </c>
      <c r="C888" s="5" t="s">
        <v>69</v>
      </c>
      <c r="D888" s="6">
        <f>IFERROR(__xludf.DUMMYFUNCTION("SPLIT(MID(C888,2,LEN(C888)-2), "","")"),293.0)</f>
        <v>293</v>
      </c>
      <c r="E888" s="7"/>
      <c r="F888" s="7"/>
      <c r="G888" s="2" t="str">
        <f t="array" ref="G888">IF(ISBLANK(D888), "", INDEX(Categories!$B:$B,MATCH(D888,Categories!$A:$A,0)))</f>
        <v>Banks Commercial</v>
      </c>
      <c r="H888" s="7" t="str">
        <f t="array" ref="H888">IF(ISBLANK(E888), "", INDEX(Categories!$B:$B,MATCH(E888,Categories!$A:$A,0)))</f>
        <v/>
      </c>
      <c r="I888" s="7" t="str">
        <f t="array" ref="I888">IF(ISBLANK(F888), "", INDEX(Categories!$B:$B,MATCH(F888,Categories!$A:$A,0)))</f>
        <v/>
      </c>
      <c r="J888" s="4"/>
      <c r="K888" s="4"/>
      <c r="L888" s="4"/>
      <c r="M888" s="4"/>
      <c r="N888" s="4"/>
      <c r="O888" s="4"/>
      <c r="P888" s="4"/>
      <c r="Q888" s="4"/>
    </row>
    <row r="889">
      <c r="A889" s="5">
        <v>888.0</v>
      </c>
      <c r="B889" s="5" t="s">
        <v>1188</v>
      </c>
      <c r="C889" s="5" t="s">
        <v>69</v>
      </c>
      <c r="D889" s="6">
        <f>IFERROR(__xludf.DUMMYFUNCTION("SPLIT(MID(C889,2,LEN(C889)-2), "","")"),293.0)</f>
        <v>293</v>
      </c>
      <c r="E889" s="7"/>
      <c r="F889" s="7"/>
      <c r="G889" s="2" t="str">
        <f t="array" ref="G889">IF(ISBLANK(D889), "", INDEX(Categories!$B:$B,MATCH(D889,Categories!$A:$A,0)))</f>
        <v>Banks Commercial</v>
      </c>
      <c r="H889" s="7" t="str">
        <f t="array" ref="H889">IF(ISBLANK(E889), "", INDEX(Categories!$B:$B,MATCH(E889,Categories!$A:$A,0)))</f>
        <v/>
      </c>
      <c r="I889" s="7" t="str">
        <f t="array" ref="I889">IF(ISBLANK(F889), "", INDEX(Categories!$B:$B,MATCH(F889,Categories!$A:$A,0)))</f>
        <v/>
      </c>
      <c r="J889" s="4"/>
      <c r="K889" s="4"/>
      <c r="L889" s="4"/>
      <c r="M889" s="4"/>
      <c r="N889" s="4"/>
      <c r="O889" s="4"/>
      <c r="P889" s="4"/>
      <c r="Q889" s="4"/>
    </row>
    <row r="890">
      <c r="A890" s="5">
        <v>889.0</v>
      </c>
      <c r="B890" s="5" t="s">
        <v>1189</v>
      </c>
      <c r="C890" s="5" t="s">
        <v>43</v>
      </c>
      <c r="D890" s="6">
        <f>IFERROR(__xludf.DUMMYFUNCTION("SPLIT(MID(C890,2,LEN(C890)-2), "","")"),292.0)</f>
        <v>292</v>
      </c>
      <c r="E890" s="7"/>
      <c r="F890" s="7"/>
      <c r="G890" s="2" t="str">
        <f t="array" ref="G890">IF(ISBLANK(D890), "", INDEX(Categories!$B:$B,MATCH(D890,Categories!$A:$A,0)))</f>
        <v>Banks</v>
      </c>
      <c r="H890" s="7" t="str">
        <f t="array" ref="H890">IF(ISBLANK(E890), "", INDEX(Categories!$B:$B,MATCH(E890,Categories!$A:$A,0)))</f>
        <v/>
      </c>
      <c r="I890" s="7" t="str">
        <f t="array" ref="I890">IF(ISBLANK(F890), "", INDEX(Categories!$B:$B,MATCH(F890,Categories!$A:$A,0)))</f>
        <v/>
      </c>
      <c r="J890" s="4"/>
      <c r="K890" s="4"/>
      <c r="L890" s="4"/>
      <c r="M890" s="4"/>
      <c r="N890" s="4"/>
      <c r="O890" s="4"/>
      <c r="P890" s="4"/>
      <c r="Q890" s="4"/>
    </row>
    <row r="891">
      <c r="A891" s="5">
        <v>890.0</v>
      </c>
      <c r="B891" s="5" t="s">
        <v>1190</v>
      </c>
      <c r="C891" s="5" t="s">
        <v>69</v>
      </c>
      <c r="D891" s="6">
        <f>IFERROR(__xludf.DUMMYFUNCTION("SPLIT(MID(C891,2,LEN(C891)-2), "","")"),293.0)</f>
        <v>293</v>
      </c>
      <c r="E891" s="7"/>
      <c r="F891" s="7"/>
      <c r="G891" s="2" t="str">
        <f t="array" ref="G891">IF(ISBLANK(D891), "", INDEX(Categories!$B:$B,MATCH(D891,Categories!$A:$A,0)))</f>
        <v>Banks Commercial</v>
      </c>
      <c r="H891" s="7" t="str">
        <f t="array" ref="H891">IF(ISBLANK(E891), "", INDEX(Categories!$B:$B,MATCH(E891,Categories!$A:$A,0)))</f>
        <v/>
      </c>
      <c r="I891" s="7" t="str">
        <f t="array" ref="I891">IF(ISBLANK(F891), "", INDEX(Categories!$B:$B,MATCH(F891,Categories!$A:$A,0)))</f>
        <v/>
      </c>
      <c r="J891" s="4"/>
      <c r="K891" s="4"/>
      <c r="L891" s="4"/>
      <c r="M891" s="4"/>
      <c r="N891" s="4"/>
      <c r="O891" s="4"/>
      <c r="P891" s="4"/>
      <c r="Q891" s="4"/>
    </row>
    <row r="892">
      <c r="A892" s="5">
        <v>891.0</v>
      </c>
      <c r="B892" s="5" t="s">
        <v>1191</v>
      </c>
      <c r="C892" s="5" t="s">
        <v>69</v>
      </c>
      <c r="D892" s="6">
        <f>IFERROR(__xludf.DUMMYFUNCTION("SPLIT(MID(C892,2,LEN(C892)-2), "","")"),293.0)</f>
        <v>293</v>
      </c>
      <c r="E892" s="7"/>
      <c r="F892" s="7"/>
      <c r="G892" s="2" t="str">
        <f t="array" ref="G892">IF(ISBLANK(D892), "", INDEX(Categories!$B:$B,MATCH(D892,Categories!$A:$A,0)))</f>
        <v>Banks Commercial</v>
      </c>
      <c r="H892" s="7" t="str">
        <f t="array" ref="H892">IF(ISBLANK(E892), "", INDEX(Categories!$B:$B,MATCH(E892,Categories!$A:$A,0)))</f>
        <v/>
      </c>
      <c r="I892" s="7" t="str">
        <f t="array" ref="I892">IF(ISBLANK(F892), "", INDEX(Categories!$B:$B,MATCH(F892,Categories!$A:$A,0)))</f>
        <v/>
      </c>
      <c r="J892" s="4"/>
      <c r="K892" s="4"/>
      <c r="L892" s="4"/>
      <c r="M892" s="4"/>
      <c r="N892" s="4"/>
      <c r="O892" s="4"/>
      <c r="P892" s="4"/>
      <c r="Q892" s="4"/>
    </row>
    <row r="893">
      <c r="A893" s="5">
        <v>892.0</v>
      </c>
      <c r="B893" s="5" t="s">
        <v>1192</v>
      </c>
      <c r="C893" s="5" t="s">
        <v>69</v>
      </c>
      <c r="D893" s="6">
        <f>IFERROR(__xludf.DUMMYFUNCTION("SPLIT(MID(C893,2,LEN(C893)-2), "","")"),293.0)</f>
        <v>293</v>
      </c>
      <c r="E893" s="7"/>
      <c r="F893" s="7"/>
      <c r="G893" s="2" t="str">
        <f t="array" ref="G893">IF(ISBLANK(D893), "", INDEX(Categories!$B:$B,MATCH(D893,Categories!$A:$A,0)))</f>
        <v>Banks Commercial</v>
      </c>
      <c r="H893" s="7" t="str">
        <f t="array" ref="H893">IF(ISBLANK(E893), "", INDEX(Categories!$B:$B,MATCH(E893,Categories!$A:$A,0)))</f>
        <v/>
      </c>
      <c r="I893" s="7" t="str">
        <f t="array" ref="I893">IF(ISBLANK(F893), "", INDEX(Categories!$B:$B,MATCH(F893,Categories!$A:$A,0)))</f>
        <v/>
      </c>
      <c r="J893" s="4"/>
      <c r="K893" s="4"/>
      <c r="L893" s="4"/>
      <c r="M893" s="4"/>
      <c r="N893" s="4"/>
      <c r="O893" s="4"/>
      <c r="P893" s="4"/>
      <c r="Q893" s="4"/>
    </row>
    <row r="894">
      <c r="A894" s="5">
        <v>893.0</v>
      </c>
      <c r="B894" s="5" t="s">
        <v>1193</v>
      </c>
      <c r="C894" s="5" t="s">
        <v>69</v>
      </c>
      <c r="D894" s="6">
        <f>IFERROR(__xludf.DUMMYFUNCTION("SPLIT(MID(C894,2,LEN(C894)-2), "","")"),293.0)</f>
        <v>293</v>
      </c>
      <c r="E894" s="7"/>
      <c r="F894" s="7"/>
      <c r="G894" s="2" t="str">
        <f t="array" ref="G894">IF(ISBLANK(D894), "", INDEX(Categories!$B:$B,MATCH(D894,Categories!$A:$A,0)))</f>
        <v>Banks Commercial</v>
      </c>
      <c r="H894" s="7" t="str">
        <f t="array" ref="H894">IF(ISBLANK(E894), "", INDEX(Categories!$B:$B,MATCH(E894,Categories!$A:$A,0)))</f>
        <v/>
      </c>
      <c r="I894" s="7" t="str">
        <f t="array" ref="I894">IF(ISBLANK(F894), "", INDEX(Categories!$B:$B,MATCH(F894,Categories!$A:$A,0)))</f>
        <v/>
      </c>
      <c r="J894" s="4"/>
      <c r="K894" s="4"/>
      <c r="L894" s="4"/>
      <c r="M894" s="4"/>
      <c r="N894" s="4"/>
      <c r="O894" s="4"/>
      <c r="P894" s="4"/>
      <c r="Q894" s="4"/>
    </row>
    <row r="895">
      <c r="A895" s="5">
        <v>894.0</v>
      </c>
      <c r="B895" s="5" t="s">
        <v>1194</v>
      </c>
      <c r="C895" s="5" t="s">
        <v>69</v>
      </c>
      <c r="D895" s="6">
        <f>IFERROR(__xludf.DUMMYFUNCTION("SPLIT(MID(C895,2,LEN(C895)-2), "","")"),293.0)</f>
        <v>293</v>
      </c>
      <c r="E895" s="7"/>
      <c r="F895" s="7"/>
      <c r="G895" s="2" t="str">
        <f t="array" ref="G895">IF(ISBLANK(D895), "", INDEX(Categories!$B:$B,MATCH(D895,Categories!$A:$A,0)))</f>
        <v>Banks Commercial</v>
      </c>
      <c r="H895" s="7" t="str">
        <f t="array" ref="H895">IF(ISBLANK(E895), "", INDEX(Categories!$B:$B,MATCH(E895,Categories!$A:$A,0)))</f>
        <v/>
      </c>
      <c r="I895" s="7" t="str">
        <f t="array" ref="I895">IF(ISBLANK(F895), "", INDEX(Categories!$B:$B,MATCH(F895,Categories!$A:$A,0)))</f>
        <v/>
      </c>
      <c r="J895" s="4"/>
      <c r="K895" s="4"/>
      <c r="L895" s="4"/>
      <c r="M895" s="4"/>
      <c r="N895" s="4"/>
      <c r="O895" s="4"/>
      <c r="P895" s="4"/>
      <c r="Q895" s="4"/>
    </row>
    <row r="896">
      <c r="A896" s="5">
        <v>895.0</v>
      </c>
      <c r="B896" s="5" t="s">
        <v>1195</v>
      </c>
      <c r="C896" s="5" t="s">
        <v>69</v>
      </c>
      <c r="D896" s="6">
        <f>IFERROR(__xludf.DUMMYFUNCTION("SPLIT(MID(C896,2,LEN(C896)-2), "","")"),293.0)</f>
        <v>293</v>
      </c>
      <c r="E896" s="7"/>
      <c r="F896" s="7"/>
      <c r="G896" s="2" t="str">
        <f t="array" ref="G896">IF(ISBLANK(D896), "", INDEX(Categories!$B:$B,MATCH(D896,Categories!$A:$A,0)))</f>
        <v>Banks Commercial</v>
      </c>
      <c r="H896" s="7" t="str">
        <f t="array" ref="H896">IF(ISBLANK(E896), "", INDEX(Categories!$B:$B,MATCH(E896,Categories!$A:$A,0)))</f>
        <v/>
      </c>
      <c r="I896" s="7" t="str">
        <f t="array" ref="I896">IF(ISBLANK(F896), "", INDEX(Categories!$B:$B,MATCH(F896,Categories!$A:$A,0)))</f>
        <v/>
      </c>
      <c r="J896" s="4"/>
      <c r="K896" s="4"/>
      <c r="L896" s="4"/>
      <c r="M896" s="4"/>
      <c r="N896" s="4"/>
      <c r="O896" s="4"/>
      <c r="P896" s="4"/>
      <c r="Q896" s="4"/>
    </row>
    <row r="897">
      <c r="A897" s="5">
        <v>896.0</v>
      </c>
      <c r="B897" s="5" t="s">
        <v>1196</v>
      </c>
      <c r="C897" s="5" t="s">
        <v>69</v>
      </c>
      <c r="D897" s="6">
        <f>IFERROR(__xludf.DUMMYFUNCTION("SPLIT(MID(C897,2,LEN(C897)-2), "","")"),293.0)</f>
        <v>293</v>
      </c>
      <c r="E897" s="7"/>
      <c r="F897" s="7"/>
      <c r="G897" s="2" t="str">
        <f t="array" ref="G897">IF(ISBLANK(D897), "", INDEX(Categories!$B:$B,MATCH(D897,Categories!$A:$A,0)))</f>
        <v>Banks Commercial</v>
      </c>
      <c r="H897" s="7" t="str">
        <f t="array" ref="H897">IF(ISBLANK(E897), "", INDEX(Categories!$B:$B,MATCH(E897,Categories!$A:$A,0)))</f>
        <v/>
      </c>
      <c r="I897" s="7" t="str">
        <f t="array" ref="I897">IF(ISBLANK(F897), "", INDEX(Categories!$B:$B,MATCH(F897,Categories!$A:$A,0)))</f>
        <v/>
      </c>
      <c r="J897" s="4"/>
      <c r="K897" s="4"/>
      <c r="L897" s="4"/>
      <c r="M897" s="4"/>
      <c r="N897" s="4"/>
      <c r="O897" s="4"/>
      <c r="P897" s="4"/>
      <c r="Q897" s="4"/>
    </row>
    <row r="898">
      <c r="A898" s="5">
        <v>897.0</v>
      </c>
      <c r="B898" s="5" t="s">
        <v>1197</v>
      </c>
      <c r="C898" s="5" t="s">
        <v>43</v>
      </c>
      <c r="D898" s="6">
        <f>IFERROR(__xludf.DUMMYFUNCTION("SPLIT(MID(C898,2,LEN(C898)-2), "","")"),292.0)</f>
        <v>292</v>
      </c>
      <c r="E898" s="7"/>
      <c r="F898" s="7"/>
      <c r="G898" s="2" t="str">
        <f t="array" ref="G898">IF(ISBLANK(D898), "", INDEX(Categories!$B:$B,MATCH(D898,Categories!$A:$A,0)))</f>
        <v>Banks</v>
      </c>
      <c r="H898" s="7" t="str">
        <f t="array" ref="H898">IF(ISBLANK(E898), "", INDEX(Categories!$B:$B,MATCH(E898,Categories!$A:$A,0)))</f>
        <v/>
      </c>
      <c r="I898" s="7" t="str">
        <f t="array" ref="I898">IF(ISBLANK(F898), "", INDEX(Categories!$B:$B,MATCH(F898,Categories!$A:$A,0)))</f>
        <v/>
      </c>
      <c r="J898" s="4"/>
      <c r="K898" s="4"/>
      <c r="L898" s="4"/>
      <c r="M898" s="4"/>
      <c r="N898" s="4"/>
      <c r="O898" s="4"/>
      <c r="P898" s="4"/>
      <c r="Q898" s="4"/>
    </row>
    <row r="899">
      <c r="A899" s="5">
        <v>898.0</v>
      </c>
      <c r="B899" s="5" t="s">
        <v>1198</v>
      </c>
      <c r="C899" s="5" t="s">
        <v>69</v>
      </c>
      <c r="D899" s="6">
        <f>IFERROR(__xludf.DUMMYFUNCTION("SPLIT(MID(C899,2,LEN(C899)-2), "","")"),293.0)</f>
        <v>293</v>
      </c>
      <c r="E899" s="7"/>
      <c r="F899" s="7"/>
      <c r="G899" s="2" t="str">
        <f t="array" ref="G899">IF(ISBLANK(D899), "", INDEX(Categories!$B:$B,MATCH(D899,Categories!$A:$A,0)))</f>
        <v>Banks Commercial</v>
      </c>
      <c r="H899" s="7" t="str">
        <f t="array" ref="H899">IF(ISBLANK(E899), "", INDEX(Categories!$B:$B,MATCH(E899,Categories!$A:$A,0)))</f>
        <v/>
      </c>
      <c r="I899" s="7" t="str">
        <f t="array" ref="I899">IF(ISBLANK(F899), "", INDEX(Categories!$B:$B,MATCH(F899,Categories!$A:$A,0)))</f>
        <v/>
      </c>
      <c r="J899" s="4"/>
      <c r="K899" s="4"/>
      <c r="L899" s="4"/>
      <c r="M899" s="4"/>
      <c r="N899" s="4"/>
      <c r="O899" s="4"/>
      <c r="P899" s="4"/>
      <c r="Q899" s="4"/>
    </row>
    <row r="900">
      <c r="A900" s="5">
        <v>899.0</v>
      </c>
      <c r="B900" s="5" t="s">
        <v>1199</v>
      </c>
      <c r="C900" s="5" t="s">
        <v>1200</v>
      </c>
      <c r="D900" s="6">
        <f>IFERROR(__xludf.DUMMYFUNCTION("SPLIT(MID(C900,2,LEN(C900)-2), "","")"),299.0)</f>
        <v>299</v>
      </c>
      <c r="E900" s="7"/>
      <c r="F900" s="7"/>
      <c r="G900" s="2" t="str">
        <f t="array" ref="G900">IF(ISBLANK(D900), "", INDEX(Categories!$B:$B,MATCH(D900,Categories!$A:$A,0)))</f>
        <v>Automated Teller Machine (atm)</v>
      </c>
      <c r="H900" s="7" t="str">
        <f t="array" ref="H900">IF(ISBLANK(E900), "", INDEX(Categories!$B:$B,MATCH(E900,Categories!$A:$A,0)))</f>
        <v/>
      </c>
      <c r="I900" s="7" t="str">
        <f t="array" ref="I900">IF(ISBLANK(F900), "", INDEX(Categories!$B:$B,MATCH(F900,Categories!$A:$A,0)))</f>
        <v/>
      </c>
      <c r="J900" s="4"/>
      <c r="K900" s="4"/>
      <c r="L900" s="4"/>
      <c r="M900" s="4"/>
      <c r="N900" s="4"/>
      <c r="O900" s="4"/>
      <c r="P900" s="4"/>
      <c r="Q900" s="4"/>
    </row>
    <row r="901">
      <c r="A901" s="5">
        <v>900.0</v>
      </c>
      <c r="B901" s="5" t="s">
        <v>1201</v>
      </c>
      <c r="C901" s="5" t="s">
        <v>324</v>
      </c>
      <c r="D901" s="6">
        <f>IFERROR(__xludf.DUMMYFUNCTION("SPLIT(MID(C901,2,LEN(C901)-2), "","")"),290.0)</f>
        <v>290</v>
      </c>
      <c r="E901" s="7"/>
      <c r="F901" s="7"/>
      <c r="G901" s="2" t="str">
        <f t="array" ref="G901">IF(ISBLANK(D901), "", INDEX(Categories!$B:$B,MATCH(D901,Categories!$A:$A,0)))</f>
        <v>Banks &amp; Credit Unions</v>
      </c>
      <c r="H901" s="7" t="str">
        <f t="array" ref="H901">IF(ISBLANK(E901), "", INDEX(Categories!$B:$B,MATCH(E901,Categories!$A:$A,0)))</f>
        <v/>
      </c>
      <c r="I901" s="7" t="str">
        <f t="array" ref="I901">IF(ISBLANK(F901), "", INDEX(Categories!$B:$B,MATCH(F901,Categories!$A:$A,0)))</f>
        <v/>
      </c>
      <c r="J901" s="4"/>
      <c r="K901" s="4"/>
      <c r="L901" s="4"/>
      <c r="M901" s="4"/>
      <c r="N901" s="4"/>
      <c r="O901" s="4"/>
      <c r="P901" s="4"/>
      <c r="Q901" s="4"/>
    </row>
    <row r="902">
      <c r="A902" s="5">
        <v>901.0</v>
      </c>
      <c r="B902" s="5" t="s">
        <v>1202</v>
      </c>
      <c r="C902" s="5" t="s">
        <v>324</v>
      </c>
      <c r="D902" s="6">
        <f>IFERROR(__xludf.DUMMYFUNCTION("SPLIT(MID(C902,2,LEN(C902)-2), "","")"),290.0)</f>
        <v>290</v>
      </c>
      <c r="E902" s="7"/>
      <c r="F902" s="7"/>
      <c r="G902" s="2" t="str">
        <f t="array" ref="G902">IF(ISBLANK(D902), "", INDEX(Categories!$B:$B,MATCH(D902,Categories!$A:$A,0)))</f>
        <v>Banks &amp; Credit Unions</v>
      </c>
      <c r="H902" s="7" t="str">
        <f t="array" ref="H902">IF(ISBLANK(E902), "", INDEX(Categories!$B:$B,MATCH(E902,Categories!$A:$A,0)))</f>
        <v/>
      </c>
      <c r="I902" s="7" t="str">
        <f t="array" ref="I902">IF(ISBLANK(F902), "", INDEX(Categories!$B:$B,MATCH(F902,Categories!$A:$A,0)))</f>
        <v/>
      </c>
      <c r="J902" s="4"/>
      <c r="K902" s="4"/>
      <c r="L902" s="4"/>
      <c r="M902" s="4"/>
      <c r="N902" s="4"/>
      <c r="O902" s="4"/>
      <c r="P902" s="4"/>
      <c r="Q902" s="4"/>
    </row>
    <row r="903">
      <c r="A903" s="5">
        <v>902.0</v>
      </c>
      <c r="B903" s="5" t="s">
        <v>1203</v>
      </c>
      <c r="C903" s="5" t="s">
        <v>38</v>
      </c>
      <c r="D903" s="6">
        <f>IFERROR(__xludf.DUMMYFUNCTION("SPLIT(MID(C903,2,LEN(C903)-2), "","")"),933.0)</f>
        <v>933</v>
      </c>
      <c r="E903" s="7"/>
      <c r="F903" s="7"/>
      <c r="G903" s="2" t="str">
        <f t="array" ref="G903">IF(ISBLANK(D903), "", INDEX(Categories!$B:$B,MATCH(D903,Categories!$A:$A,0)))</f>
        <v>Loans &amp; Mortgages</v>
      </c>
      <c r="H903" s="7" t="str">
        <f t="array" ref="H903">IF(ISBLANK(E903), "", INDEX(Categories!$B:$B,MATCH(E903,Categories!$A:$A,0)))</f>
        <v/>
      </c>
      <c r="I903" s="7" t="str">
        <f t="array" ref="I903">IF(ISBLANK(F903), "", INDEX(Categories!$B:$B,MATCH(F903,Categories!$A:$A,0)))</f>
        <v/>
      </c>
      <c r="J903" s="4"/>
      <c r="K903" s="4"/>
      <c r="L903" s="4"/>
      <c r="M903" s="4"/>
      <c r="N903" s="4"/>
      <c r="O903" s="4"/>
      <c r="P903" s="4"/>
      <c r="Q903" s="4"/>
    </row>
    <row r="904">
      <c r="A904" s="5">
        <v>903.0</v>
      </c>
      <c r="B904" s="5" t="s">
        <v>1204</v>
      </c>
      <c r="C904" s="5" t="s">
        <v>38</v>
      </c>
      <c r="D904" s="6">
        <f>IFERROR(__xludf.DUMMYFUNCTION("SPLIT(MID(C904,2,LEN(C904)-2), "","")"),933.0)</f>
        <v>933</v>
      </c>
      <c r="E904" s="7"/>
      <c r="F904" s="7"/>
      <c r="G904" s="2" t="str">
        <f t="array" ref="G904">IF(ISBLANK(D904), "", INDEX(Categories!$B:$B,MATCH(D904,Categories!$A:$A,0)))</f>
        <v>Loans &amp; Mortgages</v>
      </c>
      <c r="H904" s="7" t="str">
        <f t="array" ref="H904">IF(ISBLANK(E904), "", INDEX(Categories!$B:$B,MATCH(E904,Categories!$A:$A,0)))</f>
        <v/>
      </c>
      <c r="I904" s="7" t="str">
        <f t="array" ref="I904">IF(ISBLANK(F904), "", INDEX(Categories!$B:$B,MATCH(F904,Categories!$A:$A,0)))</f>
        <v/>
      </c>
      <c r="J904" s="4"/>
      <c r="K904" s="4"/>
      <c r="L904" s="4"/>
      <c r="M904" s="4"/>
      <c r="N904" s="4"/>
      <c r="O904" s="4"/>
      <c r="P904" s="4"/>
      <c r="Q904" s="4"/>
    </row>
    <row r="905">
      <c r="A905" s="5">
        <v>904.0</v>
      </c>
      <c r="B905" s="5" t="s">
        <v>1205</v>
      </c>
      <c r="C905" s="5" t="s">
        <v>346</v>
      </c>
      <c r="D905" s="6">
        <f>IFERROR(__xludf.DUMMYFUNCTION("SPLIT(MID(C905,2,LEN(C905)-2), "","")"),610.0)</f>
        <v>610</v>
      </c>
      <c r="E905" s="7"/>
      <c r="F905" s="7"/>
      <c r="G905" s="2" t="str">
        <f t="array" ref="G905">IF(ISBLANK(D905), "", INDEX(Categories!$B:$B,MATCH(D905,Categories!$A:$A,0)))</f>
        <v>Supermarkets &amp; Super Stores</v>
      </c>
      <c r="H905" s="7" t="str">
        <f t="array" ref="H905">IF(ISBLANK(E905), "", INDEX(Categories!$B:$B,MATCH(E905,Categories!$A:$A,0)))</f>
        <v/>
      </c>
      <c r="I905" s="7" t="str">
        <f t="array" ref="I905">IF(ISBLANK(F905), "", INDEX(Categories!$B:$B,MATCH(F905,Categories!$A:$A,0)))</f>
        <v/>
      </c>
      <c r="J905" s="4"/>
      <c r="K905" s="4"/>
      <c r="L905" s="4"/>
      <c r="M905" s="4"/>
      <c r="N905" s="4"/>
      <c r="O905" s="4"/>
      <c r="P905" s="4"/>
      <c r="Q905" s="4"/>
    </row>
    <row r="906">
      <c r="A906" s="5">
        <v>905.0</v>
      </c>
      <c r="B906" s="5" t="s">
        <v>1206</v>
      </c>
      <c r="C906" s="5" t="s">
        <v>1207</v>
      </c>
      <c r="D906" s="6">
        <f>IFERROR(__xludf.DUMMYFUNCTION("SPLIT(MID(C906,2,LEN(C906)-2), "","")"),1734.0)</f>
        <v>1734</v>
      </c>
      <c r="E906" s="7"/>
      <c r="F906" s="7"/>
      <c r="G906" s="2" t="str">
        <f t="array" ref="G906">IF(ISBLANK(D906), "", INDEX(Categories!$B:$B,MATCH(D906,Categories!$A:$A,0)))</f>
        <v>Formal Wear</v>
      </c>
      <c r="H906" s="7" t="str">
        <f t="array" ref="H906">IF(ISBLANK(E906), "", INDEX(Categories!$B:$B,MATCH(E906,Categories!$A:$A,0)))</f>
        <v/>
      </c>
      <c r="I906" s="7" t="str">
        <f t="array" ref="I906">IF(ISBLANK(F906), "", INDEX(Categories!$B:$B,MATCH(F906,Categories!$A:$A,0)))</f>
        <v/>
      </c>
      <c r="J906" s="4"/>
      <c r="K906" s="4"/>
      <c r="L906" s="4"/>
      <c r="M906" s="4"/>
      <c r="N906" s="4"/>
      <c r="O906" s="4"/>
      <c r="P906" s="4"/>
      <c r="Q906" s="4"/>
    </row>
    <row r="907">
      <c r="A907" s="5">
        <v>906.0</v>
      </c>
      <c r="B907" s="5" t="s">
        <v>1208</v>
      </c>
      <c r="C907" s="5" t="s">
        <v>1209</v>
      </c>
      <c r="D907" s="6">
        <f>IFERROR(__xludf.DUMMYFUNCTION("SPLIT(MID(C907,2,LEN(C907)-2), "","")"),141.0)</f>
        <v>141</v>
      </c>
      <c r="E907" s="7"/>
      <c r="F907" s="7"/>
      <c r="G907" s="2" t="str">
        <f t="array" ref="G907">IF(ISBLANK(D907), "", INDEX(Categories!$B:$B,MATCH(D907,Categories!$A:$A,0)))</f>
        <v>Veterinarians</v>
      </c>
      <c r="H907" s="7" t="str">
        <f t="array" ref="H907">IF(ISBLANK(E907), "", INDEX(Categories!$B:$B,MATCH(E907,Categories!$A:$A,0)))</f>
        <v/>
      </c>
      <c r="I907" s="7" t="str">
        <f t="array" ref="I907">IF(ISBLANK(F907), "", INDEX(Categories!$B:$B,MATCH(F907,Categories!$A:$A,0)))</f>
        <v/>
      </c>
      <c r="J907" s="4"/>
      <c r="K907" s="4"/>
      <c r="L907" s="4"/>
      <c r="M907" s="4"/>
      <c r="N907" s="4"/>
      <c r="O907" s="4"/>
      <c r="P907" s="4"/>
      <c r="Q907" s="4"/>
    </row>
    <row r="908">
      <c r="A908" s="5">
        <v>907.0</v>
      </c>
      <c r="B908" s="5" t="s">
        <v>1210</v>
      </c>
      <c r="C908" s="5" t="s">
        <v>760</v>
      </c>
      <c r="D908" s="6">
        <f>IFERROR(__xludf.DUMMYFUNCTION("SPLIT(MID(C908,2,LEN(C908)-2), "","")"),1246.0)</f>
        <v>1246</v>
      </c>
      <c r="E908" s="7"/>
      <c r="F908" s="7"/>
      <c r="G908" s="2" t="str">
        <f t="array" ref="G908">IF(ISBLANK(D908), "", INDEX(Categories!$B:$B,MATCH(D908,Categories!$A:$A,0)))</f>
        <v>Clothing</v>
      </c>
      <c r="H908" s="7" t="str">
        <f t="array" ref="H908">IF(ISBLANK(E908), "", INDEX(Categories!$B:$B,MATCH(E908,Categories!$A:$A,0)))</f>
        <v/>
      </c>
      <c r="I908" s="7" t="str">
        <f t="array" ref="I908">IF(ISBLANK(F908), "", INDEX(Categories!$B:$B,MATCH(F908,Categories!$A:$A,0)))</f>
        <v/>
      </c>
      <c r="J908" s="4"/>
      <c r="K908" s="4"/>
      <c r="L908" s="4"/>
      <c r="M908" s="4"/>
      <c r="N908" s="4"/>
      <c r="O908" s="4"/>
      <c r="P908" s="4"/>
      <c r="Q908" s="4"/>
    </row>
    <row r="909">
      <c r="A909" s="5">
        <v>908.0</v>
      </c>
      <c r="B909" s="5" t="s">
        <v>1211</v>
      </c>
      <c r="C909" s="5" t="s">
        <v>1212</v>
      </c>
      <c r="D909" s="6">
        <f>IFERROR(__xludf.DUMMYFUNCTION("SPLIT(MID(C909,2,LEN(C909)-2), "","")"),982.0)</f>
        <v>982</v>
      </c>
      <c r="E909" s="7"/>
      <c r="F909" s="7"/>
      <c r="G909" s="2" t="str">
        <f t="array" ref="G909">IF(ISBLANK(D909), "", INDEX(Categories!$B:$B,MATCH(D909,Categories!$A:$A,0)))</f>
        <v>Internet Web Hosting &amp; Design</v>
      </c>
      <c r="H909" s="7" t="str">
        <f t="array" ref="H909">IF(ISBLANK(E909), "", INDEX(Categories!$B:$B,MATCH(E909,Categories!$A:$A,0)))</f>
        <v/>
      </c>
      <c r="I909" s="7" t="str">
        <f t="array" ref="I909">IF(ISBLANK(F909), "", INDEX(Categories!$B:$B,MATCH(F909,Categories!$A:$A,0)))</f>
        <v/>
      </c>
      <c r="J909" s="4"/>
      <c r="K909" s="4"/>
      <c r="L909" s="4"/>
      <c r="M909" s="4"/>
      <c r="N909" s="4"/>
      <c r="O909" s="4"/>
      <c r="P909" s="4"/>
      <c r="Q909" s="4"/>
    </row>
    <row r="910">
      <c r="A910" s="5">
        <v>909.0</v>
      </c>
      <c r="B910" s="5" t="s">
        <v>1213</v>
      </c>
      <c r="C910" s="5" t="s">
        <v>378</v>
      </c>
      <c r="D910" s="6">
        <f>IFERROR(__xludf.DUMMYFUNCTION("SPLIT(MID(C910,2,LEN(C910)-2), "","")"),2755.0)</f>
        <v>2755</v>
      </c>
      <c r="E910" s="7"/>
      <c r="F910" s="7"/>
      <c r="G910" s="2" t="str">
        <f t="array" ref="G910">IF(ISBLANK(D910), "", INDEX(Categories!$B:$B,MATCH(D910,Categories!$A:$A,0)))</f>
        <v>Cable &amp; Satellite Equipment &amp; Services</v>
      </c>
      <c r="H910" s="7" t="str">
        <f t="array" ref="H910">IF(ISBLANK(E910), "", INDEX(Categories!$B:$B,MATCH(E910,Categories!$A:$A,0)))</f>
        <v/>
      </c>
      <c r="I910" s="7" t="str">
        <f t="array" ref="I910">IF(ISBLANK(F910), "", INDEX(Categories!$B:$B,MATCH(F910,Categories!$A:$A,0)))</f>
        <v/>
      </c>
      <c r="J910" s="4"/>
      <c r="K910" s="4"/>
      <c r="L910" s="4"/>
      <c r="M910" s="4"/>
      <c r="N910" s="4"/>
      <c r="O910" s="4"/>
      <c r="P910" s="4"/>
      <c r="Q910" s="4"/>
    </row>
    <row r="911">
      <c r="A911" s="5">
        <v>910.0</v>
      </c>
      <c r="B911" s="5" t="s">
        <v>1214</v>
      </c>
      <c r="C911" s="5" t="s">
        <v>1215</v>
      </c>
      <c r="D911" s="6">
        <f>IFERROR(__xludf.DUMMYFUNCTION("SPLIT(MID(C911,2,LEN(C911)-2), "","")"),2673.0)</f>
        <v>2673</v>
      </c>
      <c r="E911" s="7"/>
      <c r="F911" s="7"/>
      <c r="G911" s="2" t="str">
        <f t="array" ref="G911">IF(ISBLANK(D911), "", INDEX(Categories!$B:$B,MATCH(D911,Categories!$A:$A,0)))</f>
        <v>Window Treatments</v>
      </c>
      <c r="H911" s="7" t="str">
        <f t="array" ref="H911">IF(ISBLANK(E911), "", INDEX(Categories!$B:$B,MATCH(E911,Categories!$A:$A,0)))</f>
        <v/>
      </c>
      <c r="I911" s="7" t="str">
        <f t="array" ref="I911">IF(ISBLANK(F911), "", INDEX(Categories!$B:$B,MATCH(F911,Categories!$A:$A,0)))</f>
        <v/>
      </c>
      <c r="J911" s="4"/>
      <c r="K911" s="4"/>
      <c r="L911" s="4"/>
      <c r="M911" s="4"/>
      <c r="N911" s="4"/>
      <c r="O911" s="4"/>
      <c r="P911" s="4"/>
      <c r="Q911" s="4"/>
    </row>
    <row r="912">
      <c r="A912" s="5">
        <v>911.0</v>
      </c>
      <c r="B912" s="5" t="s">
        <v>1216</v>
      </c>
      <c r="C912" s="5" t="s">
        <v>497</v>
      </c>
      <c r="D912" s="6">
        <f>IFERROR(__xludf.DUMMYFUNCTION("SPLIT(MID(C912,2,LEN(C912)-2), "","")"),2348.0)</f>
        <v>2348</v>
      </c>
      <c r="E912" s="7"/>
      <c r="F912" s="7"/>
      <c r="G912" s="2" t="str">
        <f t="array" ref="G912">IF(ISBLANK(D912), "", INDEX(Categories!$B:$B,MATCH(D912,Categories!$A:$A,0)))</f>
        <v>Real Estate - Development</v>
      </c>
      <c r="H912" s="7" t="str">
        <f t="array" ref="H912">IF(ISBLANK(E912), "", INDEX(Categories!$B:$B,MATCH(E912,Categories!$A:$A,0)))</f>
        <v/>
      </c>
      <c r="I912" s="7" t="str">
        <f t="array" ref="I912">IF(ISBLANK(F912), "", INDEX(Categories!$B:$B,MATCH(F912,Categories!$A:$A,0)))</f>
        <v/>
      </c>
      <c r="J912" s="4"/>
      <c r="K912" s="4"/>
      <c r="L912" s="4"/>
      <c r="M912" s="4"/>
      <c r="N912" s="4"/>
      <c r="O912" s="4"/>
      <c r="P912" s="4"/>
      <c r="Q912" s="4"/>
    </row>
    <row r="913">
      <c r="A913" s="5">
        <v>912.0</v>
      </c>
      <c r="B913" s="5" t="s">
        <v>1217</v>
      </c>
      <c r="C913" s="5" t="s">
        <v>775</v>
      </c>
      <c r="D913" s="6">
        <f>IFERROR(__xludf.DUMMYFUNCTION("SPLIT(MID(C913,2,LEN(C913)-2), "","")"),2785.0)</f>
        <v>2785</v>
      </c>
      <c r="E913" s="7"/>
      <c r="F913" s="7"/>
      <c r="G913" s="2" t="str">
        <f t="array" ref="G913">IF(ISBLANK(D913), "", INDEX(Categories!$B:$B,MATCH(D913,Categories!$A:$A,0)))</f>
        <v>Home Improvement Centers</v>
      </c>
      <c r="H913" s="7" t="str">
        <f t="array" ref="H913">IF(ISBLANK(E913), "", INDEX(Categories!$B:$B,MATCH(E913,Categories!$A:$A,0)))</f>
        <v/>
      </c>
      <c r="I913" s="7" t="str">
        <f t="array" ref="I913">IF(ISBLANK(F913), "", INDEX(Categories!$B:$B,MATCH(F913,Categories!$A:$A,0)))</f>
        <v/>
      </c>
      <c r="J913" s="4"/>
      <c r="K913" s="4"/>
      <c r="L913" s="4"/>
      <c r="M913" s="4"/>
      <c r="N913" s="4"/>
      <c r="O913" s="4"/>
      <c r="P913" s="4"/>
      <c r="Q913" s="4"/>
    </row>
    <row r="914">
      <c r="A914" s="5">
        <v>913.0</v>
      </c>
      <c r="B914" s="5" t="s">
        <v>1218</v>
      </c>
      <c r="C914" s="5" t="s">
        <v>139</v>
      </c>
      <c r="D914" s="6">
        <f>IFERROR(__xludf.DUMMYFUNCTION("SPLIT(MID(C914,2,LEN(C914)-2), "","")"),1617.0)</f>
        <v>1617</v>
      </c>
      <c r="E914" s="7"/>
      <c r="F914" s="7"/>
      <c r="G914" s="2" t="str">
        <f t="array" ref="G914">IF(ISBLANK(D914), "", INDEX(Categories!$B:$B,MATCH(D914,Categories!$A:$A,0)))</f>
        <v>Department Stores</v>
      </c>
      <c r="H914" s="7" t="str">
        <f t="array" ref="H914">IF(ISBLANK(E914), "", INDEX(Categories!$B:$B,MATCH(E914,Categories!$A:$A,0)))</f>
        <v/>
      </c>
      <c r="I914" s="7" t="str">
        <f t="array" ref="I914">IF(ISBLANK(F914), "", INDEX(Categories!$B:$B,MATCH(F914,Categories!$A:$A,0)))</f>
        <v/>
      </c>
      <c r="J914" s="4"/>
      <c r="K914" s="4"/>
      <c r="L914" s="4"/>
      <c r="M914" s="4"/>
      <c r="N914" s="4"/>
      <c r="O914" s="4"/>
      <c r="P914" s="4"/>
      <c r="Q914" s="4"/>
    </row>
    <row r="915">
      <c r="A915" s="5">
        <v>914.0</v>
      </c>
      <c r="B915" s="5" t="s">
        <v>1219</v>
      </c>
      <c r="C915" s="5" t="s">
        <v>1220</v>
      </c>
      <c r="D915" s="6">
        <f>IFERROR(__xludf.DUMMYFUNCTION("SPLIT(MID(C915,2,LEN(C915)-2), "","")"),512.0)</f>
        <v>512</v>
      </c>
      <c r="E915" s="7"/>
      <c r="F915" s="7"/>
      <c r="G915" s="2" t="str">
        <f t="array" ref="G915">IF(ISBLANK(D915), "", INDEX(Categories!$B:$B,MATCH(D915,Categories!$A:$A,0)))</f>
        <v>Clinics Dialysis</v>
      </c>
      <c r="H915" s="7" t="str">
        <f t="array" ref="H915">IF(ISBLANK(E915), "", INDEX(Categories!$B:$B,MATCH(E915,Categories!$A:$A,0)))</f>
        <v/>
      </c>
      <c r="I915" s="7" t="str">
        <f t="array" ref="I915">IF(ISBLANK(F915), "", INDEX(Categories!$B:$B,MATCH(F915,Categories!$A:$A,0)))</f>
        <v/>
      </c>
      <c r="J915" s="4"/>
      <c r="K915" s="4"/>
      <c r="L915" s="4"/>
      <c r="M915" s="4"/>
      <c r="N915" s="4"/>
      <c r="O915" s="4"/>
      <c r="P915" s="4"/>
      <c r="Q915" s="4"/>
    </row>
    <row r="916">
      <c r="A916" s="5">
        <v>915.0</v>
      </c>
      <c r="B916" s="5" t="s">
        <v>1221</v>
      </c>
      <c r="C916" s="5" t="s">
        <v>497</v>
      </c>
      <c r="D916" s="6">
        <f>IFERROR(__xludf.DUMMYFUNCTION("SPLIT(MID(C916,2,LEN(C916)-2), "","")"),2348.0)</f>
        <v>2348</v>
      </c>
      <c r="E916" s="7"/>
      <c r="F916" s="7"/>
      <c r="G916" s="2" t="str">
        <f t="array" ref="G916">IF(ISBLANK(D916), "", INDEX(Categories!$B:$B,MATCH(D916,Categories!$A:$A,0)))</f>
        <v>Real Estate - Development</v>
      </c>
      <c r="H916" s="7" t="str">
        <f t="array" ref="H916">IF(ISBLANK(E916), "", INDEX(Categories!$B:$B,MATCH(E916,Categories!$A:$A,0)))</f>
        <v/>
      </c>
      <c r="I916" s="7" t="str">
        <f t="array" ref="I916">IF(ISBLANK(F916), "", INDEX(Categories!$B:$B,MATCH(F916,Categories!$A:$A,0)))</f>
        <v/>
      </c>
      <c r="J916" s="4"/>
      <c r="K916" s="4"/>
      <c r="L916" s="4"/>
      <c r="M916" s="4"/>
      <c r="N916" s="4"/>
      <c r="O916" s="4"/>
      <c r="P916" s="4"/>
      <c r="Q916" s="4"/>
    </row>
    <row r="917">
      <c r="A917" s="5">
        <v>916.0</v>
      </c>
      <c r="B917" s="5" t="s">
        <v>1222</v>
      </c>
      <c r="C917" s="5" t="s">
        <v>67</v>
      </c>
      <c r="D917" s="6">
        <f>IFERROR(__xludf.DUMMYFUNCTION("SPLIT(MID(C917,2,LEN(C917)-2), "","")"),1820.0)</f>
        <v>1820</v>
      </c>
      <c r="E917" s="7"/>
      <c r="F917" s="7"/>
      <c r="G917" s="2" t="str">
        <f t="array" ref="G917">IF(ISBLANK(D917), "", INDEX(Categories!$B:$B,MATCH(D917,Categories!$A:$A,0)))</f>
        <v>Real Estate - Property Management</v>
      </c>
      <c r="H917" s="7" t="str">
        <f t="array" ref="H917">IF(ISBLANK(E917), "", INDEX(Categories!$B:$B,MATCH(E917,Categories!$A:$A,0)))</f>
        <v/>
      </c>
      <c r="I917" s="7" t="str">
        <f t="array" ref="I917">IF(ISBLANK(F917), "", INDEX(Categories!$B:$B,MATCH(F917,Categories!$A:$A,0)))</f>
        <v/>
      </c>
      <c r="J917" s="4"/>
      <c r="K917" s="4"/>
      <c r="L917" s="4"/>
      <c r="M917" s="4"/>
      <c r="N917" s="4"/>
      <c r="O917" s="4"/>
      <c r="P917" s="4"/>
      <c r="Q917" s="4"/>
    </row>
    <row r="918">
      <c r="A918" s="5">
        <v>917.0</v>
      </c>
      <c r="B918" s="5" t="s">
        <v>1223</v>
      </c>
      <c r="C918" s="5" t="s">
        <v>1224</v>
      </c>
      <c r="D918" s="6">
        <f>IFERROR(__xludf.DUMMYFUNCTION("SPLIT(MID(C918,2,LEN(C918)-2), "","")"),129.0)</f>
        <v>129</v>
      </c>
      <c r="E918" s="7"/>
      <c r="F918" s="7"/>
      <c r="G918" s="2" t="str">
        <f t="array" ref="G918">IF(ISBLANK(D918), "", INDEX(Categories!$B:$B,MATCH(D918,Categories!$A:$A,0)))</f>
        <v>Insurance Automobile</v>
      </c>
      <c r="H918" s="7" t="str">
        <f t="array" ref="H918">IF(ISBLANK(E918), "", INDEX(Categories!$B:$B,MATCH(E918,Categories!$A:$A,0)))</f>
        <v/>
      </c>
      <c r="I918" s="7" t="str">
        <f t="array" ref="I918">IF(ISBLANK(F918), "", INDEX(Categories!$B:$B,MATCH(F918,Categories!$A:$A,0)))</f>
        <v/>
      </c>
      <c r="J918" s="4"/>
      <c r="K918" s="4"/>
      <c r="L918" s="4"/>
      <c r="M918" s="4"/>
      <c r="N918" s="4"/>
      <c r="O918" s="4"/>
      <c r="P918" s="4"/>
      <c r="Q918" s="4"/>
    </row>
    <row r="919">
      <c r="A919" s="5">
        <v>918.0</v>
      </c>
      <c r="B919" s="5" t="s">
        <v>1225</v>
      </c>
      <c r="C919" s="5" t="s">
        <v>1226</v>
      </c>
      <c r="D919" s="6">
        <f>IFERROR(__xludf.DUMMYFUNCTION("SPLIT(MID(C919,2,LEN(C919)-2), "","")"),969.0)</f>
        <v>969</v>
      </c>
      <c r="E919" s="7"/>
      <c r="F919" s="7"/>
      <c r="G919" s="2" t="str">
        <f t="array" ref="G919">IF(ISBLANK(D919), "", INDEX(Categories!$B:$B,MATCH(D919,Categories!$A:$A,0)))</f>
        <v>Garage Doors</v>
      </c>
      <c r="H919" s="7" t="str">
        <f t="array" ref="H919">IF(ISBLANK(E919), "", INDEX(Categories!$B:$B,MATCH(E919,Categories!$A:$A,0)))</f>
        <v/>
      </c>
      <c r="I919" s="7" t="str">
        <f t="array" ref="I919">IF(ISBLANK(F919), "", INDEX(Categories!$B:$B,MATCH(F919,Categories!$A:$A,0)))</f>
        <v/>
      </c>
      <c r="J919" s="4"/>
      <c r="K919" s="4"/>
      <c r="L919" s="4"/>
      <c r="M919" s="4"/>
      <c r="N919" s="4"/>
      <c r="O919" s="4"/>
      <c r="P919" s="4"/>
      <c r="Q919" s="4"/>
    </row>
    <row r="920">
      <c r="A920" s="5">
        <v>919.0</v>
      </c>
      <c r="B920" s="5" t="s">
        <v>1227</v>
      </c>
      <c r="C920" s="5" t="s">
        <v>69</v>
      </c>
      <c r="D920" s="6">
        <f>IFERROR(__xludf.DUMMYFUNCTION("SPLIT(MID(C920,2,LEN(C920)-2), "","")"),293.0)</f>
        <v>293</v>
      </c>
      <c r="E920" s="7"/>
      <c r="F920" s="7"/>
      <c r="G920" s="2" t="str">
        <f t="array" ref="G920">IF(ISBLANK(D920), "", INDEX(Categories!$B:$B,MATCH(D920,Categories!$A:$A,0)))</f>
        <v>Banks Commercial</v>
      </c>
      <c r="H920" s="7" t="str">
        <f t="array" ref="H920">IF(ISBLANK(E920), "", INDEX(Categories!$B:$B,MATCH(E920,Categories!$A:$A,0)))</f>
        <v/>
      </c>
      <c r="I920" s="7" t="str">
        <f t="array" ref="I920">IF(ISBLANK(F920), "", INDEX(Categories!$B:$B,MATCH(F920,Categories!$A:$A,0)))</f>
        <v/>
      </c>
      <c r="J920" s="4"/>
      <c r="K920" s="4"/>
      <c r="L920" s="4"/>
      <c r="M920" s="4"/>
      <c r="N920" s="4"/>
      <c r="O920" s="4"/>
      <c r="P920" s="4"/>
      <c r="Q920" s="4"/>
    </row>
    <row r="921">
      <c r="A921" s="5">
        <v>920.0</v>
      </c>
      <c r="B921" s="5" t="s">
        <v>1228</v>
      </c>
      <c r="C921" s="5" t="s">
        <v>1229</v>
      </c>
      <c r="D921" s="6">
        <f>IFERROR(__xludf.DUMMYFUNCTION("SPLIT(MID(C921,2,LEN(C921)-2), "","")"),2505.0)</f>
        <v>2505</v>
      </c>
      <c r="E921" s="7"/>
      <c r="F921" s="7"/>
      <c r="G921" s="2" t="str">
        <f t="array" ref="G921">IF(ISBLANK(D921), "", INDEX(Categories!$B:$B,MATCH(D921,Categories!$A:$A,0)))</f>
        <v>Internet Services</v>
      </c>
      <c r="H921" s="7" t="str">
        <f t="array" ref="H921">IF(ISBLANK(E921), "", INDEX(Categories!$B:$B,MATCH(E921,Categories!$A:$A,0)))</f>
        <v/>
      </c>
      <c r="I921" s="7" t="str">
        <f t="array" ref="I921">IF(ISBLANK(F921), "", INDEX(Categories!$B:$B,MATCH(F921,Categories!$A:$A,0)))</f>
        <v/>
      </c>
      <c r="J921" s="4"/>
      <c r="K921" s="4"/>
      <c r="L921" s="4"/>
      <c r="M921" s="4"/>
      <c r="N921" s="4"/>
      <c r="O921" s="4"/>
      <c r="P921" s="4"/>
      <c r="Q921" s="4"/>
    </row>
    <row r="922">
      <c r="A922" s="5">
        <v>921.0</v>
      </c>
      <c r="B922" s="5" t="s">
        <v>1230</v>
      </c>
      <c r="C922" s="5" t="s">
        <v>1231</v>
      </c>
      <c r="D922" s="6">
        <f>IFERROR(__xludf.DUMMYFUNCTION("SPLIT(MID(C922,2,LEN(C922)-2), "","")"),1015.0)</f>
        <v>1015</v>
      </c>
      <c r="E922" s="7"/>
      <c r="F922" s="7"/>
      <c r="G922" s="2" t="str">
        <f t="array" ref="G922">IF(ISBLANK(D922), "", INDEX(Categories!$B:$B,MATCH(D922,Categories!$A:$A,0)))</f>
        <v>Burglar Alarm Systems Dealers Installation Monitoring &amp; Service</v>
      </c>
      <c r="H922" s="7" t="str">
        <f t="array" ref="H922">IF(ISBLANK(E922), "", INDEX(Categories!$B:$B,MATCH(E922,Categories!$A:$A,0)))</f>
        <v/>
      </c>
      <c r="I922" s="7" t="str">
        <f t="array" ref="I922">IF(ISBLANK(F922), "", INDEX(Categories!$B:$B,MATCH(F922,Categories!$A:$A,0)))</f>
        <v/>
      </c>
      <c r="J922" s="4"/>
      <c r="K922" s="4"/>
      <c r="L922" s="4"/>
      <c r="M922" s="4"/>
      <c r="N922" s="4"/>
      <c r="O922" s="4"/>
      <c r="P922" s="4"/>
      <c r="Q922" s="4"/>
    </row>
    <row r="923">
      <c r="A923" s="5">
        <v>922.0</v>
      </c>
      <c r="B923" s="5" t="s">
        <v>1232</v>
      </c>
      <c r="C923" s="5" t="s">
        <v>360</v>
      </c>
      <c r="D923" s="6">
        <f>IFERROR(__xludf.DUMMYFUNCTION("SPLIT(MID(C923,2,LEN(C923)-2), "","")"),2021.0)</f>
        <v>2021</v>
      </c>
      <c r="E923" s="7"/>
      <c r="F923" s="7"/>
      <c r="G923" s="2" t="str">
        <f t="array" ref="G923">IF(ISBLANK(D923), "", INDEX(Categories!$B:$B,MATCH(D923,Categories!$A:$A,0)))</f>
        <v>Health Services</v>
      </c>
      <c r="H923" s="7" t="str">
        <f t="array" ref="H923">IF(ISBLANK(E923), "", INDEX(Categories!$B:$B,MATCH(E923,Categories!$A:$A,0)))</f>
        <v/>
      </c>
      <c r="I923" s="7" t="str">
        <f t="array" ref="I923">IF(ISBLANK(F923), "", INDEX(Categories!$B:$B,MATCH(F923,Categories!$A:$A,0)))</f>
        <v/>
      </c>
      <c r="J923" s="4"/>
      <c r="K923" s="4"/>
      <c r="L923" s="4"/>
      <c r="M923" s="4"/>
      <c r="N923" s="4"/>
      <c r="O923" s="4"/>
      <c r="P923" s="4"/>
      <c r="Q923" s="4"/>
    </row>
    <row r="924">
      <c r="A924" s="5">
        <v>923.0</v>
      </c>
      <c r="B924" s="5" t="s">
        <v>1233</v>
      </c>
      <c r="C924" s="5" t="s">
        <v>1234</v>
      </c>
      <c r="D924" s="6">
        <f>IFERROR(__xludf.DUMMYFUNCTION("SPLIT(MID(C924,2,LEN(C924)-2), "","")"),1482.0)</f>
        <v>1482</v>
      </c>
      <c r="E924" s="7"/>
      <c r="F924" s="7"/>
      <c r="G924" s="2" t="str">
        <f t="array" ref="G924">IF(ISBLANK(D924), "", INDEX(Categories!$B:$B,MATCH(D924,Categories!$A:$A,0)))</f>
        <v>Railroad Ticket Agencies</v>
      </c>
      <c r="H924" s="7" t="str">
        <f t="array" ref="H924">IF(ISBLANK(E924), "", INDEX(Categories!$B:$B,MATCH(E924,Categories!$A:$A,0)))</f>
        <v/>
      </c>
      <c r="I924" s="7" t="str">
        <f t="array" ref="I924">IF(ISBLANK(F924), "", INDEX(Categories!$B:$B,MATCH(F924,Categories!$A:$A,0)))</f>
        <v/>
      </c>
      <c r="J924" s="4"/>
      <c r="K924" s="4"/>
      <c r="L924" s="4"/>
      <c r="M924" s="4"/>
      <c r="N924" s="4"/>
      <c r="O924" s="4"/>
      <c r="P924" s="4"/>
      <c r="Q924" s="4"/>
    </row>
    <row r="925">
      <c r="A925" s="5">
        <v>924.0</v>
      </c>
      <c r="B925" s="5" t="s">
        <v>1235</v>
      </c>
      <c r="C925" s="5" t="s">
        <v>69</v>
      </c>
      <c r="D925" s="6">
        <f>IFERROR(__xludf.DUMMYFUNCTION("SPLIT(MID(C925,2,LEN(C925)-2), "","")"),293.0)</f>
        <v>293</v>
      </c>
      <c r="E925" s="7"/>
      <c r="F925" s="7"/>
      <c r="G925" s="2" t="str">
        <f t="array" ref="G925">IF(ISBLANK(D925), "", INDEX(Categories!$B:$B,MATCH(D925,Categories!$A:$A,0)))</f>
        <v>Banks Commercial</v>
      </c>
      <c r="H925" s="7" t="str">
        <f t="array" ref="H925">IF(ISBLANK(E925), "", INDEX(Categories!$B:$B,MATCH(E925,Categories!$A:$A,0)))</f>
        <v/>
      </c>
      <c r="I925" s="7" t="str">
        <f t="array" ref="I925">IF(ISBLANK(F925), "", INDEX(Categories!$B:$B,MATCH(F925,Categories!$A:$A,0)))</f>
        <v/>
      </c>
      <c r="J925" s="4"/>
      <c r="K925" s="4"/>
      <c r="L925" s="4"/>
      <c r="M925" s="4"/>
      <c r="N925" s="4"/>
      <c r="O925" s="4"/>
      <c r="P925" s="4"/>
      <c r="Q925" s="4"/>
    </row>
    <row r="926">
      <c r="A926" s="5">
        <v>925.0</v>
      </c>
      <c r="B926" s="5" t="s">
        <v>1236</v>
      </c>
      <c r="C926" s="5" t="s">
        <v>139</v>
      </c>
      <c r="D926" s="6">
        <f>IFERROR(__xludf.DUMMYFUNCTION("SPLIT(MID(C926,2,LEN(C926)-2), "","")"),1617.0)</f>
        <v>1617</v>
      </c>
      <c r="E926" s="7"/>
      <c r="F926" s="7"/>
      <c r="G926" s="2" t="str">
        <f t="array" ref="G926">IF(ISBLANK(D926), "", INDEX(Categories!$B:$B,MATCH(D926,Categories!$A:$A,0)))</f>
        <v>Department Stores</v>
      </c>
      <c r="H926" s="7" t="str">
        <f t="array" ref="H926">IF(ISBLANK(E926), "", INDEX(Categories!$B:$B,MATCH(E926,Categories!$A:$A,0)))</f>
        <v/>
      </c>
      <c r="I926" s="7" t="str">
        <f t="array" ref="I926">IF(ISBLANK(F926), "", INDEX(Categories!$B:$B,MATCH(F926,Categories!$A:$A,0)))</f>
        <v/>
      </c>
      <c r="J926" s="4"/>
      <c r="K926" s="4"/>
      <c r="L926" s="4"/>
      <c r="M926" s="4"/>
      <c r="N926" s="4"/>
      <c r="O926" s="4"/>
      <c r="P926" s="4"/>
      <c r="Q926" s="4"/>
    </row>
    <row r="927">
      <c r="A927" s="5">
        <v>926.0</v>
      </c>
      <c r="B927" s="5" t="s">
        <v>1237</v>
      </c>
      <c r="C927" s="5" t="s">
        <v>1238</v>
      </c>
      <c r="D927" s="6">
        <f>IFERROR(__xludf.DUMMYFUNCTION("SPLIT(MID(C927,2,LEN(C927)-2), "","")"),301.0)</f>
        <v>301</v>
      </c>
      <c r="E927" s="7"/>
      <c r="F927" s="7"/>
      <c r="G927" s="2" t="str">
        <f t="array" ref="G927">IF(ISBLANK(D927), "", INDEX(Categories!$B:$B,MATCH(D927,Categories!$A:$A,0)))</f>
        <v>Locks &amp; Locksmiths</v>
      </c>
      <c r="H927" s="7" t="str">
        <f t="array" ref="H927">IF(ISBLANK(E927), "", INDEX(Categories!$B:$B,MATCH(E927,Categories!$A:$A,0)))</f>
        <v/>
      </c>
      <c r="I927" s="7" t="str">
        <f t="array" ref="I927">IF(ISBLANK(F927), "", INDEX(Categories!$B:$B,MATCH(F927,Categories!$A:$A,0)))</f>
        <v/>
      </c>
      <c r="J927" s="4"/>
      <c r="K927" s="4"/>
      <c r="L927" s="4"/>
      <c r="M927" s="4"/>
      <c r="N927" s="4"/>
      <c r="O927" s="4"/>
      <c r="P927" s="4"/>
      <c r="Q927" s="4"/>
    </row>
    <row r="928">
      <c r="A928" s="5">
        <v>927.0</v>
      </c>
      <c r="B928" s="5" t="s">
        <v>1239</v>
      </c>
      <c r="C928" s="5" t="s">
        <v>378</v>
      </c>
      <c r="D928" s="6">
        <f>IFERROR(__xludf.DUMMYFUNCTION("SPLIT(MID(C928,2,LEN(C928)-2), "","")"),2755.0)</f>
        <v>2755</v>
      </c>
      <c r="E928" s="7"/>
      <c r="F928" s="7"/>
      <c r="G928" s="2" t="str">
        <f t="array" ref="G928">IF(ISBLANK(D928), "", INDEX(Categories!$B:$B,MATCH(D928,Categories!$A:$A,0)))</f>
        <v>Cable &amp; Satellite Equipment &amp; Services</v>
      </c>
      <c r="H928" s="7" t="str">
        <f t="array" ref="H928">IF(ISBLANK(E928), "", INDEX(Categories!$B:$B,MATCH(E928,Categories!$A:$A,0)))</f>
        <v/>
      </c>
      <c r="I928" s="7" t="str">
        <f t="array" ref="I928">IF(ISBLANK(F928), "", INDEX(Categories!$B:$B,MATCH(F928,Categories!$A:$A,0)))</f>
        <v/>
      </c>
      <c r="J928" s="4"/>
      <c r="K928" s="4"/>
      <c r="L928" s="4"/>
      <c r="M928" s="4"/>
      <c r="N928" s="4"/>
      <c r="O928" s="4"/>
      <c r="P928" s="4"/>
      <c r="Q928" s="4"/>
    </row>
    <row r="929">
      <c r="A929" s="5">
        <v>928.0</v>
      </c>
      <c r="B929" s="5" t="s">
        <v>1240</v>
      </c>
      <c r="C929" s="5" t="s">
        <v>115</v>
      </c>
      <c r="D929" s="6">
        <f>IFERROR(__xludf.DUMMYFUNCTION("SPLIT(MID(C929,2,LEN(C929)-2), "","")"),1272.0)</f>
        <v>1272</v>
      </c>
      <c r="E929" s="7"/>
      <c r="F929" s="7"/>
      <c r="G929" s="2" t="str">
        <f t="array" ref="G929">IF(ISBLANK(D929), "", INDEX(Categories!$B:$B,MATCH(D929,Categories!$A:$A,0)))</f>
        <v>Womens Apparel</v>
      </c>
      <c r="H929" s="7" t="str">
        <f t="array" ref="H929">IF(ISBLANK(E929), "", INDEX(Categories!$B:$B,MATCH(E929,Categories!$A:$A,0)))</f>
        <v/>
      </c>
      <c r="I929" s="7" t="str">
        <f t="array" ref="I929">IF(ISBLANK(F929), "", INDEX(Categories!$B:$B,MATCH(F929,Categories!$A:$A,0)))</f>
        <v/>
      </c>
      <c r="J929" s="4"/>
      <c r="K929" s="4"/>
      <c r="L929" s="4"/>
      <c r="M929" s="4"/>
      <c r="N929" s="4"/>
      <c r="O929" s="4"/>
      <c r="P929" s="4"/>
      <c r="Q929" s="4"/>
    </row>
    <row r="930">
      <c r="A930" s="5">
        <v>929.0</v>
      </c>
      <c r="B930" s="5" t="s">
        <v>1241</v>
      </c>
      <c r="C930" s="5" t="s">
        <v>1242</v>
      </c>
      <c r="D930" s="6">
        <f>IFERROR(__xludf.DUMMYFUNCTION("SPLIT(MID(C930,2,LEN(C930)-2), "","")"),554.0)</f>
        <v>554</v>
      </c>
      <c r="E930" s="7"/>
      <c r="F930" s="7"/>
      <c r="G930" s="2" t="str">
        <f t="array" ref="G930">IF(ISBLANK(D930), "", INDEX(Categories!$B:$B,MATCH(D930,Categories!$A:$A,0)))</f>
        <v>Wigs &amp; Hair Pieces</v>
      </c>
      <c r="H930" s="7" t="str">
        <f t="array" ref="H930">IF(ISBLANK(E930), "", INDEX(Categories!$B:$B,MATCH(E930,Categories!$A:$A,0)))</f>
        <v/>
      </c>
      <c r="I930" s="7" t="str">
        <f t="array" ref="I930">IF(ISBLANK(F930), "", INDEX(Categories!$B:$B,MATCH(F930,Categories!$A:$A,0)))</f>
        <v/>
      </c>
      <c r="J930" s="4"/>
      <c r="K930" s="4"/>
      <c r="L930" s="4"/>
      <c r="M930" s="4"/>
      <c r="N930" s="4"/>
      <c r="O930" s="4"/>
      <c r="P930" s="4"/>
      <c r="Q930" s="4"/>
    </row>
    <row r="931">
      <c r="A931" s="5">
        <v>930.0</v>
      </c>
      <c r="B931" s="5" t="s">
        <v>1243</v>
      </c>
      <c r="C931" s="5" t="s">
        <v>1244</v>
      </c>
      <c r="D931" s="6">
        <f>IFERROR(__xludf.DUMMYFUNCTION("SPLIT(MID(C931,2,LEN(C931)-2), "","")"),1291.0)</f>
        <v>1291</v>
      </c>
      <c r="E931" s="7"/>
      <c r="F931" s="7"/>
      <c r="G931" s="2" t="str">
        <f t="array" ref="G931">IF(ISBLANK(D931), "", INDEX(Categories!$B:$B,MATCH(D931,Categories!$A:$A,0)))</f>
        <v>Disabled Persons Equipment &amp; Supplies</v>
      </c>
      <c r="H931" s="7" t="str">
        <f t="array" ref="H931">IF(ISBLANK(E931), "", INDEX(Categories!$B:$B,MATCH(E931,Categories!$A:$A,0)))</f>
        <v/>
      </c>
      <c r="I931" s="7" t="str">
        <f t="array" ref="I931">IF(ISBLANK(F931), "", INDEX(Categories!$B:$B,MATCH(F931,Categories!$A:$A,0)))</f>
        <v/>
      </c>
      <c r="J931" s="4"/>
      <c r="K931" s="4"/>
      <c r="L931" s="4"/>
      <c r="M931" s="4"/>
      <c r="N931" s="4"/>
      <c r="O931" s="4"/>
      <c r="P931" s="4"/>
      <c r="Q931" s="4"/>
    </row>
    <row r="932">
      <c r="A932" s="5">
        <v>931.0</v>
      </c>
      <c r="B932" s="5" t="s">
        <v>1245</v>
      </c>
      <c r="C932" s="5" t="s">
        <v>1246</v>
      </c>
      <c r="D932" s="6">
        <f>IFERROR(__xludf.DUMMYFUNCTION("SPLIT(MID(C932,2,LEN(C932)-2), "","")"),2590.0)</f>
        <v>2590</v>
      </c>
      <c r="E932" s="7"/>
      <c r="F932" s="7"/>
      <c r="G932" s="2" t="str">
        <f t="array" ref="G932">IF(ISBLANK(D932), "", INDEX(Categories!$B:$B,MATCH(D932,Categories!$A:$A,0)))</f>
        <v>Windows</v>
      </c>
      <c r="H932" s="7" t="str">
        <f t="array" ref="H932">IF(ISBLANK(E932), "", INDEX(Categories!$B:$B,MATCH(E932,Categories!$A:$A,0)))</f>
        <v/>
      </c>
      <c r="I932" s="7" t="str">
        <f t="array" ref="I932">IF(ISBLANK(F932), "", INDEX(Categories!$B:$B,MATCH(F932,Categories!$A:$A,0)))</f>
        <v/>
      </c>
      <c r="J932" s="4"/>
      <c r="K932" s="4"/>
      <c r="L932" s="4"/>
      <c r="M932" s="4"/>
      <c r="N932" s="4"/>
      <c r="O932" s="4"/>
      <c r="P932" s="4"/>
      <c r="Q932" s="4"/>
    </row>
    <row r="933">
      <c r="A933" s="5">
        <v>932.0</v>
      </c>
      <c r="B933" s="5" t="s">
        <v>1247</v>
      </c>
      <c r="C933" s="5" t="s">
        <v>463</v>
      </c>
      <c r="D933" s="6">
        <f>IFERROR(__xludf.DUMMYFUNCTION("SPLIT(MID(C933,2,LEN(C933)-2), "","")"),2604.0)</f>
        <v>2604</v>
      </c>
      <c r="E933" s="7"/>
      <c r="F933" s="7"/>
      <c r="G933" s="2" t="str">
        <f t="array" ref="G933">IF(ISBLANK(D933), "", INDEX(Categories!$B:$B,MATCH(D933,Categories!$A:$A,0)))</f>
        <v>Health Clubs</v>
      </c>
      <c r="H933" s="7" t="str">
        <f t="array" ref="H933">IF(ISBLANK(E933), "", INDEX(Categories!$B:$B,MATCH(E933,Categories!$A:$A,0)))</f>
        <v/>
      </c>
      <c r="I933" s="7" t="str">
        <f t="array" ref="I933">IF(ISBLANK(F933), "", INDEX(Categories!$B:$B,MATCH(F933,Categories!$A:$A,0)))</f>
        <v/>
      </c>
      <c r="J933" s="4"/>
      <c r="K933" s="4"/>
      <c r="L933" s="4"/>
      <c r="M933" s="4"/>
      <c r="N933" s="4"/>
      <c r="O933" s="4"/>
      <c r="P933" s="4"/>
      <c r="Q933" s="4"/>
    </row>
    <row r="934">
      <c r="A934" s="5">
        <v>933.0</v>
      </c>
      <c r="B934" s="5" t="s">
        <v>1248</v>
      </c>
      <c r="C934" s="5" t="s">
        <v>1081</v>
      </c>
      <c r="D934" s="6">
        <f>IFERROR(__xludf.DUMMYFUNCTION("SPLIT(MID(C934,2,LEN(C934)-2), "","")"),18.0)</f>
        <v>18</v>
      </c>
      <c r="E934" s="7"/>
      <c r="F934" s="7"/>
      <c r="G934" s="2" t="str">
        <f t="array" ref="G934">IF(ISBLANK(D934), "", INDEX(Categories!$B:$B,MATCH(D934,Categories!$A:$A,0)))</f>
        <v>Furniture</v>
      </c>
      <c r="H934" s="7" t="str">
        <f t="array" ref="H934">IF(ISBLANK(E934), "", INDEX(Categories!$B:$B,MATCH(E934,Categories!$A:$A,0)))</f>
        <v/>
      </c>
      <c r="I934" s="7" t="str">
        <f t="array" ref="I934">IF(ISBLANK(F934), "", INDEX(Categories!$B:$B,MATCH(F934,Categories!$A:$A,0)))</f>
        <v/>
      </c>
      <c r="J934" s="4"/>
      <c r="K934" s="4"/>
      <c r="L934" s="4"/>
      <c r="M934" s="4"/>
      <c r="N934" s="4"/>
      <c r="O934" s="4"/>
      <c r="P934" s="4"/>
      <c r="Q934" s="4"/>
    </row>
    <row r="935">
      <c r="A935" s="5">
        <v>934.0</v>
      </c>
      <c r="B935" s="5" t="s">
        <v>1249</v>
      </c>
      <c r="C935" s="5" t="s">
        <v>307</v>
      </c>
      <c r="D935" s="6">
        <f>IFERROR(__xludf.DUMMYFUNCTION("SPLIT(MID(C935,2,LEN(C935)-2), "","")"),241.0)</f>
        <v>241</v>
      </c>
      <c r="E935" s="7"/>
      <c r="F935" s="7"/>
      <c r="G935" s="2" t="str">
        <f t="array" ref="G935">IF(ISBLANK(D935), "", INDEX(Categories!$B:$B,MATCH(D935,Categories!$A:$A,0)))</f>
        <v>Restaurants Mexican</v>
      </c>
      <c r="H935" s="7" t="str">
        <f t="array" ref="H935">IF(ISBLANK(E935), "", INDEX(Categories!$B:$B,MATCH(E935,Categories!$A:$A,0)))</f>
        <v/>
      </c>
      <c r="I935" s="7" t="str">
        <f t="array" ref="I935">IF(ISBLANK(F935), "", INDEX(Categories!$B:$B,MATCH(F935,Categories!$A:$A,0)))</f>
        <v/>
      </c>
      <c r="J935" s="4"/>
      <c r="K935" s="4"/>
      <c r="L935" s="4"/>
      <c r="M935" s="4"/>
      <c r="N935" s="4"/>
      <c r="O935" s="4"/>
      <c r="P935" s="4"/>
      <c r="Q935" s="4"/>
    </row>
    <row r="936">
      <c r="A936" s="5">
        <v>935.0</v>
      </c>
      <c r="B936" s="5" t="s">
        <v>1250</v>
      </c>
      <c r="C936" s="5" t="s">
        <v>139</v>
      </c>
      <c r="D936" s="6">
        <f>IFERROR(__xludf.DUMMYFUNCTION("SPLIT(MID(C936,2,LEN(C936)-2), "","")"),1617.0)</f>
        <v>1617</v>
      </c>
      <c r="E936" s="7"/>
      <c r="F936" s="7"/>
      <c r="G936" s="2" t="str">
        <f t="array" ref="G936">IF(ISBLANK(D936), "", INDEX(Categories!$B:$B,MATCH(D936,Categories!$A:$A,0)))</f>
        <v>Department Stores</v>
      </c>
      <c r="H936" s="7" t="str">
        <f t="array" ref="H936">IF(ISBLANK(E936), "", INDEX(Categories!$B:$B,MATCH(E936,Categories!$A:$A,0)))</f>
        <v/>
      </c>
      <c r="I936" s="7" t="str">
        <f t="array" ref="I936">IF(ISBLANK(F936), "", INDEX(Categories!$B:$B,MATCH(F936,Categories!$A:$A,0)))</f>
        <v/>
      </c>
      <c r="J936" s="4"/>
      <c r="K936" s="4"/>
      <c r="L936" s="4"/>
      <c r="M936" s="4"/>
      <c r="N936" s="4"/>
      <c r="O936" s="4"/>
      <c r="P936" s="4"/>
      <c r="Q936" s="4"/>
    </row>
    <row r="937">
      <c r="A937" s="5">
        <v>936.0</v>
      </c>
      <c r="B937" s="5" t="s">
        <v>1251</v>
      </c>
      <c r="C937" s="5" t="s">
        <v>18</v>
      </c>
      <c r="D937" s="6">
        <f>IFERROR(__xludf.DUMMYFUNCTION("SPLIT(MID(C937,2,LEN(C937)-2), "","")"),121.0)</f>
        <v>121</v>
      </c>
      <c r="E937" s="7"/>
      <c r="F937" s="7"/>
      <c r="G937" s="2" t="str">
        <f t="array" ref="G937">IF(ISBLANK(D937), "", INDEX(Categories!$B:$B,MATCH(D937,Categories!$A:$A,0)))</f>
        <v>Insurance</v>
      </c>
      <c r="H937" s="7" t="str">
        <f t="array" ref="H937">IF(ISBLANK(E937), "", INDEX(Categories!$B:$B,MATCH(E937,Categories!$A:$A,0)))</f>
        <v/>
      </c>
      <c r="I937" s="7" t="str">
        <f t="array" ref="I937">IF(ISBLANK(F937), "", INDEX(Categories!$B:$B,MATCH(F937,Categories!$A:$A,0)))</f>
        <v/>
      </c>
      <c r="J937" s="4"/>
      <c r="K937" s="4"/>
      <c r="L937" s="4"/>
      <c r="M937" s="4"/>
      <c r="N937" s="4"/>
      <c r="O937" s="4"/>
      <c r="P937" s="4"/>
      <c r="Q937" s="4"/>
    </row>
    <row r="938">
      <c r="A938" s="5">
        <v>937.0</v>
      </c>
      <c r="B938" s="5" t="s">
        <v>1252</v>
      </c>
      <c r="C938" s="5" t="s">
        <v>128</v>
      </c>
      <c r="D938" s="6">
        <f>IFERROR(__xludf.DUMMYFUNCTION("SPLIT(MID(C938,2,LEN(C938)-2), "","")"),110.0)</f>
        <v>110</v>
      </c>
      <c r="E938" s="7"/>
      <c r="F938" s="7"/>
      <c r="G938" s="2" t="str">
        <f t="array" ref="G938">IF(ISBLANK(D938), "", INDEX(Categories!$B:$B,MATCH(D938,Categories!$A:$A,0)))</f>
        <v>Automobile - Tires</v>
      </c>
      <c r="H938" s="7" t="str">
        <f t="array" ref="H938">IF(ISBLANK(E938), "", INDEX(Categories!$B:$B,MATCH(E938,Categories!$A:$A,0)))</f>
        <v/>
      </c>
      <c r="I938" s="7" t="str">
        <f t="array" ref="I938">IF(ISBLANK(F938), "", INDEX(Categories!$B:$B,MATCH(F938,Categories!$A:$A,0)))</f>
        <v/>
      </c>
      <c r="J938" s="4"/>
      <c r="K938" s="4"/>
      <c r="L938" s="4"/>
      <c r="M938" s="4"/>
      <c r="N938" s="4"/>
      <c r="O938" s="4"/>
      <c r="P938" s="4"/>
      <c r="Q938" s="4"/>
    </row>
    <row r="939">
      <c r="A939" s="5">
        <v>938.0</v>
      </c>
      <c r="B939" s="5" t="s">
        <v>1253</v>
      </c>
      <c r="C939" s="5" t="s">
        <v>1254</v>
      </c>
      <c r="D939" s="6">
        <f>IFERROR(__xludf.DUMMYFUNCTION("SPLIT(MID(C939,2,LEN(C939)-2), "","")"),2724.0)</f>
        <v>2724</v>
      </c>
      <c r="E939" s="7"/>
      <c r="F939" s="7"/>
      <c r="G939" s="2" t="str">
        <f t="array" ref="G939">IF(ISBLANK(D939), "", INDEX(Categories!$B:$B,MATCH(D939,Categories!$A:$A,0)))</f>
        <v>Pipe &amp; Leak Locating</v>
      </c>
      <c r="H939" s="7" t="str">
        <f t="array" ref="H939">IF(ISBLANK(E939), "", INDEX(Categories!$B:$B,MATCH(E939,Categories!$A:$A,0)))</f>
        <v/>
      </c>
      <c r="I939" s="7" t="str">
        <f t="array" ref="I939">IF(ISBLANK(F939), "", INDEX(Categories!$B:$B,MATCH(F939,Categories!$A:$A,0)))</f>
        <v/>
      </c>
      <c r="J939" s="4"/>
      <c r="K939" s="4"/>
      <c r="L939" s="4"/>
      <c r="M939" s="4"/>
      <c r="N939" s="4"/>
      <c r="O939" s="4"/>
      <c r="P939" s="4"/>
      <c r="Q939" s="4"/>
    </row>
    <row r="940">
      <c r="A940" s="5">
        <v>939.0</v>
      </c>
      <c r="B940" s="5" t="s">
        <v>1255</v>
      </c>
      <c r="C940" s="5" t="s">
        <v>45</v>
      </c>
      <c r="D940" s="6">
        <f>IFERROR(__xludf.DUMMYFUNCTION("SPLIT(MID(C940,2,LEN(C940)-2), "","")"),234.0)</f>
        <v>234</v>
      </c>
      <c r="E940" s="7"/>
      <c r="F940" s="7"/>
      <c r="G940" s="2" t="str">
        <f t="array" ref="G940">IF(ISBLANK(D940), "", INDEX(Categories!$B:$B,MATCH(D940,Categories!$A:$A,0)))</f>
        <v>Ice Cream Parlors Consumer</v>
      </c>
      <c r="H940" s="7" t="str">
        <f t="array" ref="H940">IF(ISBLANK(E940), "", INDEX(Categories!$B:$B,MATCH(E940,Categories!$A:$A,0)))</f>
        <v/>
      </c>
      <c r="I940" s="7" t="str">
        <f t="array" ref="I940">IF(ISBLANK(F940), "", INDEX(Categories!$B:$B,MATCH(F940,Categories!$A:$A,0)))</f>
        <v/>
      </c>
      <c r="J940" s="4"/>
      <c r="K940" s="4"/>
      <c r="L940" s="4"/>
      <c r="M940" s="4"/>
      <c r="N940" s="4"/>
      <c r="O940" s="4"/>
      <c r="P940" s="4"/>
      <c r="Q940" s="4"/>
    </row>
    <row r="941">
      <c r="A941" s="5">
        <v>940.0</v>
      </c>
      <c r="B941" s="5" t="s">
        <v>1256</v>
      </c>
      <c r="C941" s="5" t="s">
        <v>1257</v>
      </c>
      <c r="D941" s="6">
        <f>IFERROR(__xludf.DUMMYFUNCTION("SPLIT(MID(C941,2,LEN(C941)-2), "","")"),2629.0)</f>
        <v>2629</v>
      </c>
      <c r="E941" s="7"/>
      <c r="F941" s="7"/>
      <c r="G941" s="2" t="str">
        <f t="array" ref="G941">IF(ISBLANK(D941), "", INDEX(Categories!$B:$B,MATCH(D941,Categories!$A:$A,0)))</f>
        <v>Tanning Salons</v>
      </c>
      <c r="H941" s="7" t="str">
        <f t="array" ref="H941">IF(ISBLANK(E941), "", INDEX(Categories!$B:$B,MATCH(E941,Categories!$A:$A,0)))</f>
        <v/>
      </c>
      <c r="I941" s="7" t="str">
        <f t="array" ref="I941">IF(ISBLANK(F941), "", INDEX(Categories!$B:$B,MATCH(F941,Categories!$A:$A,0)))</f>
        <v/>
      </c>
      <c r="J941" s="4"/>
      <c r="K941" s="4"/>
      <c r="L941" s="4"/>
      <c r="M941" s="4"/>
      <c r="N941" s="4"/>
      <c r="O941" s="4"/>
      <c r="P941" s="4"/>
      <c r="Q941" s="4"/>
    </row>
    <row r="942">
      <c r="A942" s="5">
        <v>941.0</v>
      </c>
      <c r="B942" s="5" t="s">
        <v>1258</v>
      </c>
      <c r="C942" s="5" t="s">
        <v>473</v>
      </c>
      <c r="D942" s="6">
        <f>IFERROR(__xludf.DUMMYFUNCTION("SPLIT(MID(C942,2,LEN(C942)-2), "","")"),1965.0)</f>
        <v>1965</v>
      </c>
      <c r="E942" s="7"/>
      <c r="F942" s="7"/>
      <c r="G942" s="2" t="str">
        <f t="array" ref="G942">IF(ISBLANK(D942), "", INDEX(Categories!$B:$B,MATCH(D942,Categories!$A:$A,0)))</f>
        <v>Electronics - Dealers</v>
      </c>
      <c r="H942" s="7" t="str">
        <f t="array" ref="H942">IF(ISBLANK(E942), "", INDEX(Categories!$B:$B,MATCH(E942,Categories!$A:$A,0)))</f>
        <v/>
      </c>
      <c r="I942" s="7" t="str">
        <f t="array" ref="I942">IF(ISBLANK(F942), "", INDEX(Categories!$B:$B,MATCH(F942,Categories!$A:$A,0)))</f>
        <v/>
      </c>
      <c r="J942" s="4"/>
      <c r="K942" s="4"/>
      <c r="L942" s="4"/>
      <c r="M942" s="4"/>
      <c r="N942" s="4"/>
      <c r="O942" s="4"/>
      <c r="P942" s="4"/>
      <c r="Q942" s="4"/>
    </row>
    <row r="943">
      <c r="A943" s="5">
        <v>942.0</v>
      </c>
      <c r="B943" s="5" t="s">
        <v>1259</v>
      </c>
      <c r="C943" s="5" t="s">
        <v>689</v>
      </c>
      <c r="D943" s="6">
        <f>IFERROR(__xludf.DUMMYFUNCTION("SPLIT(MID(C943,2,LEN(C943)-2), "","")"),1489.0)</f>
        <v>1489</v>
      </c>
      <c r="E943" s="7"/>
      <c r="F943" s="7"/>
      <c r="G943" s="2" t="str">
        <f t="array" ref="G943">IF(ISBLANK(D943), "", INDEX(Categories!$B:$B,MATCH(D943,Categories!$A:$A,0)))</f>
        <v>Accounting &amp; Bookkeeping Services</v>
      </c>
      <c r="H943" s="7" t="str">
        <f t="array" ref="H943">IF(ISBLANK(E943), "", INDEX(Categories!$B:$B,MATCH(E943,Categories!$A:$A,0)))</f>
        <v/>
      </c>
      <c r="I943" s="7" t="str">
        <f t="array" ref="I943">IF(ISBLANK(F943), "", INDEX(Categories!$B:$B,MATCH(F943,Categories!$A:$A,0)))</f>
        <v/>
      </c>
      <c r="J943" s="4"/>
      <c r="K943" s="4"/>
      <c r="L943" s="4"/>
      <c r="M943" s="4"/>
      <c r="N943" s="4"/>
      <c r="O943" s="4"/>
      <c r="P943" s="4"/>
      <c r="Q943" s="4"/>
    </row>
    <row r="944">
      <c r="A944" s="5">
        <v>943.0</v>
      </c>
      <c r="B944" s="5" t="s">
        <v>1260</v>
      </c>
      <c r="C944" s="5" t="s">
        <v>69</v>
      </c>
      <c r="D944" s="6">
        <f>IFERROR(__xludf.DUMMYFUNCTION("SPLIT(MID(C944,2,LEN(C944)-2), "","")"),293.0)</f>
        <v>293</v>
      </c>
      <c r="E944" s="7"/>
      <c r="F944" s="7"/>
      <c r="G944" s="2" t="str">
        <f t="array" ref="G944">IF(ISBLANK(D944), "", INDEX(Categories!$B:$B,MATCH(D944,Categories!$A:$A,0)))</f>
        <v>Banks Commercial</v>
      </c>
      <c r="H944" s="7" t="str">
        <f t="array" ref="H944">IF(ISBLANK(E944), "", INDEX(Categories!$B:$B,MATCH(E944,Categories!$A:$A,0)))</f>
        <v/>
      </c>
      <c r="I944" s="7" t="str">
        <f t="array" ref="I944">IF(ISBLANK(F944), "", INDEX(Categories!$B:$B,MATCH(F944,Categories!$A:$A,0)))</f>
        <v/>
      </c>
      <c r="J944" s="4"/>
      <c r="K944" s="4"/>
      <c r="L944" s="4"/>
      <c r="M944" s="4"/>
      <c r="N944" s="4"/>
      <c r="O944" s="4"/>
      <c r="P944" s="4"/>
      <c r="Q944" s="4"/>
    </row>
    <row r="945">
      <c r="A945" s="5">
        <v>944.0</v>
      </c>
      <c r="B945" s="5" t="s">
        <v>1261</v>
      </c>
      <c r="C945" s="5" t="s">
        <v>87</v>
      </c>
      <c r="D945" s="6">
        <f>IFERROR(__xludf.DUMMYFUNCTION("SPLIT(MID(C945,2,LEN(C945)-2), "","")"),168.0)</f>
        <v>168</v>
      </c>
      <c r="E945" s="7"/>
      <c r="F945" s="7"/>
      <c r="G945" s="2" t="str">
        <f t="array" ref="G945">IF(ISBLANK(D945), "", INDEX(Categories!$B:$B,MATCH(D945,Categories!$A:$A,0)))</f>
        <v>Hotels &amp; Motels</v>
      </c>
      <c r="H945" s="7" t="str">
        <f t="array" ref="H945">IF(ISBLANK(E945), "", INDEX(Categories!$B:$B,MATCH(E945,Categories!$A:$A,0)))</f>
        <v/>
      </c>
      <c r="I945" s="7" t="str">
        <f t="array" ref="I945">IF(ISBLANK(F945), "", INDEX(Categories!$B:$B,MATCH(F945,Categories!$A:$A,0)))</f>
        <v/>
      </c>
      <c r="J945" s="4"/>
      <c r="K945" s="4"/>
      <c r="L945" s="4"/>
      <c r="M945" s="4"/>
      <c r="N945" s="4"/>
      <c r="O945" s="4"/>
      <c r="P945" s="4"/>
      <c r="Q945" s="4"/>
    </row>
    <row r="946">
      <c r="A946" s="5">
        <v>945.0</v>
      </c>
      <c r="B946" s="5" t="s">
        <v>1262</v>
      </c>
      <c r="C946" s="5" t="s">
        <v>34</v>
      </c>
      <c r="D946" s="6">
        <f>IFERROR(__xludf.DUMMYFUNCTION("SPLIT(MID(C946,2,LEN(C946)-2), "","")"),228.0)</f>
        <v>228</v>
      </c>
      <c r="E946" s="7"/>
      <c r="F946" s="7"/>
      <c r="G946" s="2" t="str">
        <f t="array" ref="G946">IF(ISBLANK(D946), "", INDEX(Categories!$B:$B,MATCH(D946,Categories!$A:$A,0)))</f>
        <v>Restaurants</v>
      </c>
      <c r="H946" s="7" t="str">
        <f t="array" ref="H946">IF(ISBLANK(E946), "", INDEX(Categories!$B:$B,MATCH(E946,Categories!$A:$A,0)))</f>
        <v/>
      </c>
      <c r="I946" s="7" t="str">
        <f t="array" ref="I946">IF(ISBLANK(F946), "", INDEX(Categories!$B:$B,MATCH(F946,Categories!$A:$A,0)))</f>
        <v/>
      </c>
      <c r="J946" s="4"/>
      <c r="K946" s="4"/>
      <c r="L946" s="4"/>
      <c r="M946" s="4"/>
      <c r="N946" s="4"/>
      <c r="O946" s="4"/>
      <c r="P946" s="4"/>
      <c r="Q946" s="4"/>
    </row>
    <row r="947">
      <c r="A947" s="5">
        <v>946.0</v>
      </c>
      <c r="B947" s="5" t="s">
        <v>1263</v>
      </c>
      <c r="C947" s="5" t="s">
        <v>188</v>
      </c>
      <c r="D947" s="6">
        <f>IFERROR(__xludf.DUMMYFUNCTION("SPLIT(MID(C947,2,LEN(C947)-2), "","")"),534.0)</f>
        <v>534</v>
      </c>
      <c r="E947" s="7"/>
      <c r="F947" s="7"/>
      <c r="G947" s="2" t="str">
        <f t="array" ref="G947">IF(ISBLANK(D947), "", INDEX(Categories!$B:$B,MATCH(D947,Categories!$A:$A,0)))</f>
        <v>Moving Services</v>
      </c>
      <c r="H947" s="7" t="str">
        <f t="array" ref="H947">IF(ISBLANK(E947), "", INDEX(Categories!$B:$B,MATCH(E947,Categories!$A:$A,0)))</f>
        <v/>
      </c>
      <c r="I947" s="7" t="str">
        <f t="array" ref="I947">IF(ISBLANK(F947), "", INDEX(Categories!$B:$B,MATCH(F947,Categories!$A:$A,0)))</f>
        <v/>
      </c>
      <c r="J947" s="4"/>
      <c r="K947" s="4"/>
      <c r="L947" s="4"/>
      <c r="M947" s="4"/>
      <c r="N947" s="4"/>
      <c r="O947" s="4"/>
      <c r="P947" s="4"/>
      <c r="Q947" s="4"/>
    </row>
    <row r="948">
      <c r="A948" s="5">
        <v>947.0</v>
      </c>
      <c r="B948" s="5" t="s">
        <v>1264</v>
      </c>
      <c r="C948" s="5" t="s">
        <v>1265</v>
      </c>
      <c r="D948" s="6">
        <f>IFERROR(__xludf.DUMMYFUNCTION("SPLIT(MID(C948,2,LEN(C948)-2), "","")"),2555.0)</f>
        <v>2555</v>
      </c>
      <c r="E948" s="7"/>
      <c r="F948" s="7"/>
      <c r="G948" s="2" t="str">
        <f t="array" ref="G948">IF(ISBLANK(D948), "", INDEX(Categories!$B:$B,MATCH(D948,Categories!$A:$A,0)))</f>
        <v>House Cleaning Services</v>
      </c>
      <c r="H948" s="7" t="str">
        <f t="array" ref="H948">IF(ISBLANK(E948), "", INDEX(Categories!$B:$B,MATCH(E948,Categories!$A:$A,0)))</f>
        <v/>
      </c>
      <c r="I948" s="7" t="str">
        <f t="array" ref="I948">IF(ISBLANK(F948), "", INDEX(Categories!$B:$B,MATCH(F948,Categories!$A:$A,0)))</f>
        <v/>
      </c>
      <c r="J948" s="4"/>
      <c r="K948" s="4"/>
      <c r="L948" s="4"/>
      <c r="M948" s="4"/>
      <c r="N948" s="4"/>
      <c r="O948" s="4"/>
      <c r="P948" s="4"/>
      <c r="Q948" s="4"/>
    </row>
    <row r="949">
      <c r="A949" s="5">
        <v>948.0</v>
      </c>
      <c r="B949" s="5" t="s">
        <v>1266</v>
      </c>
      <c r="C949" s="5" t="s">
        <v>139</v>
      </c>
      <c r="D949" s="6">
        <f>IFERROR(__xludf.DUMMYFUNCTION("SPLIT(MID(C949,2,LEN(C949)-2), "","")"),1617.0)</f>
        <v>1617</v>
      </c>
      <c r="E949" s="7"/>
      <c r="F949" s="7"/>
      <c r="G949" s="2" t="str">
        <f t="array" ref="G949">IF(ISBLANK(D949), "", INDEX(Categories!$B:$B,MATCH(D949,Categories!$A:$A,0)))</f>
        <v>Department Stores</v>
      </c>
      <c r="H949" s="7" t="str">
        <f t="array" ref="H949">IF(ISBLANK(E949), "", INDEX(Categories!$B:$B,MATCH(E949,Categories!$A:$A,0)))</f>
        <v/>
      </c>
      <c r="I949" s="7" t="str">
        <f t="array" ref="I949">IF(ISBLANK(F949), "", INDEX(Categories!$B:$B,MATCH(F949,Categories!$A:$A,0)))</f>
        <v/>
      </c>
      <c r="J949" s="4"/>
      <c r="K949" s="4"/>
      <c r="L949" s="4"/>
      <c r="M949" s="4"/>
      <c r="N949" s="4"/>
      <c r="O949" s="4"/>
      <c r="P949" s="4"/>
      <c r="Q949" s="4"/>
    </row>
    <row r="950">
      <c r="A950" s="5">
        <v>949.0</v>
      </c>
      <c r="B950" s="5" t="s">
        <v>1267</v>
      </c>
      <c r="C950" s="5" t="s">
        <v>179</v>
      </c>
      <c r="D950" s="6">
        <f>IFERROR(__xludf.DUMMYFUNCTION("SPLIT(MID(C950,2,LEN(C950)-2), "","")"),2247.0)</f>
        <v>2247</v>
      </c>
      <c r="E950" s="7"/>
      <c r="F950" s="7"/>
      <c r="G950" s="2" t="str">
        <f t="array" ref="G950">IF(ISBLANK(D950), "", INDEX(Categories!$B:$B,MATCH(D950,Categories!$A:$A,0)))</f>
        <v>Copying &amp; Duplicating Service</v>
      </c>
      <c r="H950" s="7" t="str">
        <f t="array" ref="H950">IF(ISBLANK(E950), "", INDEX(Categories!$B:$B,MATCH(E950,Categories!$A:$A,0)))</f>
        <v/>
      </c>
      <c r="I950" s="7" t="str">
        <f t="array" ref="I950">IF(ISBLANK(F950), "", INDEX(Categories!$B:$B,MATCH(F950,Categories!$A:$A,0)))</f>
        <v/>
      </c>
      <c r="J950" s="4"/>
      <c r="K950" s="4"/>
      <c r="L950" s="4"/>
      <c r="M950" s="4"/>
      <c r="N950" s="4"/>
      <c r="O950" s="4"/>
      <c r="P950" s="4"/>
      <c r="Q950" s="4"/>
    </row>
    <row r="951">
      <c r="A951" s="5">
        <v>950.0</v>
      </c>
      <c r="B951" s="5" t="s">
        <v>1268</v>
      </c>
      <c r="C951" s="5" t="s">
        <v>43</v>
      </c>
      <c r="D951" s="6">
        <f>IFERROR(__xludf.DUMMYFUNCTION("SPLIT(MID(C951,2,LEN(C951)-2), "","")"),292.0)</f>
        <v>292</v>
      </c>
      <c r="E951" s="7"/>
      <c r="F951" s="7"/>
      <c r="G951" s="2" t="str">
        <f t="array" ref="G951">IF(ISBLANK(D951), "", INDEX(Categories!$B:$B,MATCH(D951,Categories!$A:$A,0)))</f>
        <v>Banks</v>
      </c>
      <c r="H951" s="7" t="str">
        <f t="array" ref="H951">IF(ISBLANK(E951), "", INDEX(Categories!$B:$B,MATCH(E951,Categories!$A:$A,0)))</f>
        <v/>
      </c>
      <c r="I951" s="7" t="str">
        <f t="array" ref="I951">IF(ISBLANK(F951), "", INDEX(Categories!$B:$B,MATCH(F951,Categories!$A:$A,0)))</f>
        <v/>
      </c>
      <c r="J951" s="4"/>
      <c r="K951" s="4"/>
      <c r="L951" s="4"/>
      <c r="M951" s="4"/>
      <c r="N951" s="4"/>
      <c r="O951" s="4"/>
      <c r="P951" s="4"/>
      <c r="Q951" s="4"/>
    </row>
    <row r="952">
      <c r="A952" s="5">
        <v>951.0</v>
      </c>
      <c r="B952" s="5" t="s">
        <v>1269</v>
      </c>
      <c r="C952" s="5" t="s">
        <v>1270</v>
      </c>
      <c r="D952" s="6">
        <f>IFERROR(__xludf.DUMMYFUNCTION("SPLIT(MID(C952,2,LEN(C952)-2), "","")"),1884.0)</f>
        <v>1884</v>
      </c>
      <c r="E952" s="7"/>
      <c r="F952" s="7"/>
      <c r="G952" s="2" t="str">
        <f t="array" ref="G952">IF(ISBLANK(D952), "", INDEX(Categories!$B:$B,MATCH(D952,Categories!$A:$A,0)))</f>
        <v>Pet Grooming &amp; Washing</v>
      </c>
      <c r="H952" s="7" t="str">
        <f t="array" ref="H952">IF(ISBLANK(E952), "", INDEX(Categories!$B:$B,MATCH(E952,Categories!$A:$A,0)))</f>
        <v/>
      </c>
      <c r="I952" s="7" t="str">
        <f t="array" ref="I952">IF(ISBLANK(F952), "", INDEX(Categories!$B:$B,MATCH(F952,Categories!$A:$A,0)))</f>
        <v/>
      </c>
      <c r="J952" s="4"/>
      <c r="K952" s="4"/>
      <c r="L952" s="4"/>
      <c r="M952" s="4"/>
      <c r="N952" s="4"/>
      <c r="O952" s="4"/>
      <c r="P952" s="4"/>
      <c r="Q952" s="4"/>
    </row>
    <row r="953">
      <c r="A953" s="5">
        <v>952.0</v>
      </c>
      <c r="B953" s="5" t="s">
        <v>1271</v>
      </c>
      <c r="C953" s="5" t="s">
        <v>69</v>
      </c>
      <c r="D953" s="6">
        <f>IFERROR(__xludf.DUMMYFUNCTION("SPLIT(MID(C953,2,LEN(C953)-2), "","")"),293.0)</f>
        <v>293</v>
      </c>
      <c r="E953" s="7"/>
      <c r="F953" s="7"/>
      <c r="G953" s="2" t="str">
        <f t="array" ref="G953">IF(ISBLANK(D953), "", INDEX(Categories!$B:$B,MATCH(D953,Categories!$A:$A,0)))</f>
        <v>Banks Commercial</v>
      </c>
      <c r="H953" s="7" t="str">
        <f t="array" ref="H953">IF(ISBLANK(E953), "", INDEX(Categories!$B:$B,MATCH(E953,Categories!$A:$A,0)))</f>
        <v/>
      </c>
      <c r="I953" s="7" t="str">
        <f t="array" ref="I953">IF(ISBLANK(F953), "", INDEX(Categories!$B:$B,MATCH(F953,Categories!$A:$A,0)))</f>
        <v/>
      </c>
      <c r="J953" s="4"/>
      <c r="K953" s="4"/>
      <c r="L953" s="4"/>
      <c r="M953" s="4"/>
      <c r="N953" s="4"/>
      <c r="O953" s="4"/>
      <c r="P953" s="4"/>
      <c r="Q953" s="4"/>
    </row>
    <row r="954">
      <c r="A954" s="5">
        <v>953.0</v>
      </c>
      <c r="B954" s="5" t="s">
        <v>1272</v>
      </c>
      <c r="C954" s="5" t="s">
        <v>1273</v>
      </c>
      <c r="D954" s="6">
        <f>IFERROR(__xludf.DUMMYFUNCTION("SPLIT(MID(C954,2,LEN(C954)-2), "","")"),690.0)</f>
        <v>690</v>
      </c>
      <c r="E954" s="7"/>
      <c r="F954" s="7"/>
      <c r="G954" s="2" t="str">
        <f t="array" ref="G954">IF(ISBLANK(D954), "", INDEX(Categories!$B:$B,MATCH(D954,Categories!$A:$A,0)))</f>
        <v>Gift Baskets &amp; Parcels</v>
      </c>
      <c r="H954" s="7" t="str">
        <f t="array" ref="H954">IF(ISBLANK(E954), "", INDEX(Categories!$B:$B,MATCH(E954,Categories!$A:$A,0)))</f>
        <v/>
      </c>
      <c r="I954" s="7" t="str">
        <f t="array" ref="I954">IF(ISBLANK(F954), "", INDEX(Categories!$B:$B,MATCH(F954,Categories!$A:$A,0)))</f>
        <v/>
      </c>
      <c r="J954" s="4"/>
      <c r="K954" s="4"/>
      <c r="L954" s="4"/>
      <c r="M954" s="4"/>
      <c r="N954" s="4"/>
      <c r="O954" s="4"/>
      <c r="P954" s="4"/>
      <c r="Q954" s="4"/>
    </row>
    <row r="955">
      <c r="A955" s="5">
        <v>954.0</v>
      </c>
      <c r="B955" s="5" t="s">
        <v>1274</v>
      </c>
      <c r="C955" s="5" t="s">
        <v>1275</v>
      </c>
      <c r="D955" s="6">
        <f>IFERROR(__xludf.DUMMYFUNCTION("SPLIT(MID(C955,2,LEN(C955)-2), "","")"),906.0)</f>
        <v>906</v>
      </c>
      <c r="E955" s="7"/>
      <c r="F955" s="7"/>
      <c r="G955" s="2" t="str">
        <f t="array" ref="G955">IF(ISBLANK(D955), "", INDEX(Categories!$B:$B,MATCH(D955,Categories!$A:$A,0)))</f>
        <v>Computer Technical Assistance &amp; Support Services</v>
      </c>
      <c r="H955" s="7" t="str">
        <f t="array" ref="H955">IF(ISBLANK(E955), "", INDEX(Categories!$B:$B,MATCH(E955,Categories!$A:$A,0)))</f>
        <v/>
      </c>
      <c r="I955" s="7" t="str">
        <f t="array" ref="I955">IF(ISBLANK(F955), "", INDEX(Categories!$B:$B,MATCH(F955,Categories!$A:$A,0)))</f>
        <v/>
      </c>
      <c r="J955" s="4"/>
      <c r="K955" s="4"/>
      <c r="L955" s="4"/>
      <c r="M955" s="4"/>
      <c r="N955" s="4"/>
      <c r="O955" s="4"/>
      <c r="P955" s="4"/>
      <c r="Q955" s="4"/>
    </row>
    <row r="956">
      <c r="A956" s="5">
        <v>955.0</v>
      </c>
      <c r="B956" s="5" t="s">
        <v>1276</v>
      </c>
      <c r="C956" s="5" t="s">
        <v>188</v>
      </c>
      <c r="D956" s="6">
        <f>IFERROR(__xludf.DUMMYFUNCTION("SPLIT(MID(C956,2,LEN(C956)-2), "","")"),534.0)</f>
        <v>534</v>
      </c>
      <c r="E956" s="7"/>
      <c r="F956" s="7"/>
      <c r="G956" s="2" t="str">
        <f t="array" ref="G956">IF(ISBLANK(D956), "", INDEX(Categories!$B:$B,MATCH(D956,Categories!$A:$A,0)))</f>
        <v>Moving Services</v>
      </c>
      <c r="H956" s="7" t="str">
        <f t="array" ref="H956">IF(ISBLANK(E956), "", INDEX(Categories!$B:$B,MATCH(E956,Categories!$A:$A,0)))</f>
        <v/>
      </c>
      <c r="I956" s="7" t="str">
        <f t="array" ref="I956">IF(ISBLANK(F956), "", INDEX(Categories!$B:$B,MATCH(F956,Categories!$A:$A,0)))</f>
        <v/>
      </c>
      <c r="J956" s="4"/>
      <c r="K956" s="4"/>
      <c r="L956" s="4"/>
      <c r="M956" s="4"/>
      <c r="N956" s="4"/>
      <c r="O956" s="4"/>
      <c r="P956" s="4"/>
      <c r="Q956" s="4"/>
    </row>
    <row r="957">
      <c r="A957" s="5">
        <v>956.0</v>
      </c>
      <c r="B957" s="5" t="s">
        <v>1277</v>
      </c>
      <c r="C957" s="5" t="s">
        <v>1278</v>
      </c>
      <c r="D957" s="6">
        <f>IFERROR(__xludf.DUMMYFUNCTION("SPLIT(MID(C957,2,LEN(C957)-2), "","")"),1448.0)</f>
        <v>1448</v>
      </c>
      <c r="E957" s="7"/>
      <c r="F957" s="7"/>
      <c r="G957" s="2" t="str">
        <f t="array" ref="G957">IF(ISBLANK(D957), "", INDEX(Categories!$B:$B,MATCH(D957,Categories!$A:$A,0)))</f>
        <v>Uniforms</v>
      </c>
      <c r="H957" s="7" t="str">
        <f t="array" ref="H957">IF(ISBLANK(E957), "", INDEX(Categories!$B:$B,MATCH(E957,Categories!$A:$A,0)))</f>
        <v/>
      </c>
      <c r="I957" s="7" t="str">
        <f t="array" ref="I957">IF(ISBLANK(F957), "", INDEX(Categories!$B:$B,MATCH(F957,Categories!$A:$A,0)))</f>
        <v/>
      </c>
      <c r="J957" s="4"/>
      <c r="K957" s="4"/>
      <c r="L957" s="4"/>
      <c r="M957" s="4"/>
      <c r="N957" s="4"/>
      <c r="O957" s="4"/>
      <c r="P957" s="4"/>
      <c r="Q957" s="4"/>
    </row>
    <row r="958">
      <c r="A958" s="5">
        <v>957.0</v>
      </c>
      <c r="B958" s="5" t="s">
        <v>1279</v>
      </c>
      <c r="C958" s="5" t="s">
        <v>309</v>
      </c>
      <c r="D958" s="6">
        <f>IFERROR(__xludf.DUMMYFUNCTION("SPLIT(MID(C958,2,LEN(C958)-2), "","")"),458.0)</f>
        <v>458</v>
      </c>
      <c r="E958" s="7"/>
      <c r="F958" s="7"/>
      <c r="G958" s="2" t="str">
        <f t="array" ref="G958">IF(ISBLANK(D958), "", INDEX(Categories!$B:$B,MATCH(D958,Categories!$A:$A,0)))</f>
        <v>Real Estate - Brokers &amp; Agents</v>
      </c>
      <c r="H958" s="7" t="str">
        <f t="array" ref="H958">IF(ISBLANK(E958), "", INDEX(Categories!$B:$B,MATCH(E958,Categories!$A:$A,0)))</f>
        <v/>
      </c>
      <c r="I958" s="7" t="str">
        <f t="array" ref="I958">IF(ISBLANK(F958), "", INDEX(Categories!$B:$B,MATCH(F958,Categories!$A:$A,0)))</f>
        <v/>
      </c>
      <c r="J958" s="4"/>
      <c r="K958" s="4"/>
      <c r="L958" s="4"/>
      <c r="M958" s="4"/>
      <c r="N958" s="4"/>
      <c r="O958" s="4"/>
      <c r="P958" s="4"/>
      <c r="Q958" s="4"/>
    </row>
    <row r="959">
      <c r="A959" s="5">
        <v>958.0</v>
      </c>
      <c r="B959" s="5" t="s">
        <v>1280</v>
      </c>
      <c r="C959" s="5" t="s">
        <v>309</v>
      </c>
      <c r="D959" s="6">
        <f>IFERROR(__xludf.DUMMYFUNCTION("SPLIT(MID(C959,2,LEN(C959)-2), "","")"),458.0)</f>
        <v>458</v>
      </c>
      <c r="E959" s="7"/>
      <c r="F959" s="7"/>
      <c r="G959" s="2" t="str">
        <f t="array" ref="G959">IF(ISBLANK(D959), "", INDEX(Categories!$B:$B,MATCH(D959,Categories!$A:$A,0)))</f>
        <v>Real Estate - Brokers &amp; Agents</v>
      </c>
      <c r="H959" s="7" t="str">
        <f t="array" ref="H959">IF(ISBLANK(E959), "", INDEX(Categories!$B:$B,MATCH(E959,Categories!$A:$A,0)))</f>
        <v/>
      </c>
      <c r="I959" s="7" t="str">
        <f t="array" ref="I959">IF(ISBLANK(F959), "", INDEX(Categories!$B:$B,MATCH(F959,Categories!$A:$A,0)))</f>
        <v/>
      </c>
      <c r="J959" s="4"/>
      <c r="K959" s="4"/>
      <c r="L959" s="4"/>
      <c r="M959" s="4"/>
      <c r="N959" s="4"/>
      <c r="O959" s="4"/>
      <c r="P959" s="4"/>
      <c r="Q959" s="4"/>
    </row>
    <row r="960">
      <c r="A960" s="5">
        <v>959.0</v>
      </c>
      <c r="B960" s="5" t="s">
        <v>1281</v>
      </c>
      <c r="C960" s="5" t="s">
        <v>1282</v>
      </c>
      <c r="D960" s="6">
        <f>IFERROR(__xludf.DUMMYFUNCTION("SPLIT(MID(C960,2,LEN(C960)-2), "","")"),718.0)</f>
        <v>718</v>
      </c>
      <c r="E960" s="7"/>
      <c r="F960" s="7"/>
      <c r="G960" s="2" t="str">
        <f t="array" ref="G960">IF(ISBLANK(D960), "", INDEX(Categories!$B:$B,MATCH(D960,Categories!$A:$A,0)))</f>
        <v>Computer &amp; Computer Equipment Service &amp; Repair</v>
      </c>
      <c r="H960" s="7" t="str">
        <f t="array" ref="H960">IF(ISBLANK(E960), "", INDEX(Categories!$B:$B,MATCH(E960,Categories!$A:$A,0)))</f>
        <v/>
      </c>
      <c r="I960" s="7" t="str">
        <f t="array" ref="I960">IF(ISBLANK(F960), "", INDEX(Categories!$B:$B,MATCH(F960,Categories!$A:$A,0)))</f>
        <v/>
      </c>
      <c r="J960" s="4"/>
      <c r="K960" s="4"/>
      <c r="L960" s="4"/>
      <c r="M960" s="4"/>
      <c r="N960" s="4"/>
      <c r="O960" s="4"/>
      <c r="P960" s="4"/>
      <c r="Q960" s="4"/>
    </row>
    <row r="961">
      <c r="A961" s="5">
        <v>960.0</v>
      </c>
      <c r="B961" s="5" t="s">
        <v>1283</v>
      </c>
      <c r="C961" s="5" t="s">
        <v>188</v>
      </c>
      <c r="D961" s="6">
        <f>IFERROR(__xludf.DUMMYFUNCTION("SPLIT(MID(C961,2,LEN(C961)-2), "","")"),534.0)</f>
        <v>534</v>
      </c>
      <c r="E961" s="7"/>
      <c r="F961" s="7"/>
      <c r="G961" s="2" t="str">
        <f t="array" ref="G961">IF(ISBLANK(D961), "", INDEX(Categories!$B:$B,MATCH(D961,Categories!$A:$A,0)))</f>
        <v>Moving Services</v>
      </c>
      <c r="H961" s="7" t="str">
        <f t="array" ref="H961">IF(ISBLANK(E961), "", INDEX(Categories!$B:$B,MATCH(E961,Categories!$A:$A,0)))</f>
        <v/>
      </c>
      <c r="I961" s="7" t="str">
        <f t="array" ref="I961">IF(ISBLANK(F961), "", INDEX(Categories!$B:$B,MATCH(F961,Categories!$A:$A,0)))</f>
        <v/>
      </c>
      <c r="J961" s="4"/>
      <c r="K961" s="4"/>
      <c r="L961" s="4"/>
      <c r="M961" s="4"/>
      <c r="N961" s="4"/>
      <c r="O961" s="4"/>
      <c r="P961" s="4"/>
      <c r="Q961" s="4"/>
    </row>
    <row r="962">
      <c r="A962" s="5">
        <v>961.0</v>
      </c>
      <c r="B962" s="5" t="s">
        <v>1284</v>
      </c>
      <c r="C962" s="5" t="s">
        <v>188</v>
      </c>
      <c r="D962" s="6">
        <f>IFERROR(__xludf.DUMMYFUNCTION("SPLIT(MID(C962,2,LEN(C962)-2), "","")"),534.0)</f>
        <v>534</v>
      </c>
      <c r="E962" s="7"/>
      <c r="F962" s="7"/>
      <c r="G962" s="2" t="str">
        <f t="array" ref="G962">IF(ISBLANK(D962), "", INDEX(Categories!$B:$B,MATCH(D962,Categories!$A:$A,0)))</f>
        <v>Moving Services</v>
      </c>
      <c r="H962" s="7" t="str">
        <f t="array" ref="H962">IF(ISBLANK(E962), "", INDEX(Categories!$B:$B,MATCH(E962,Categories!$A:$A,0)))</f>
        <v/>
      </c>
      <c r="I962" s="7" t="str">
        <f t="array" ref="I962">IF(ISBLANK(F962), "", INDEX(Categories!$B:$B,MATCH(F962,Categories!$A:$A,0)))</f>
        <v/>
      </c>
      <c r="J962" s="4"/>
      <c r="K962" s="4"/>
      <c r="L962" s="4"/>
      <c r="M962" s="4"/>
      <c r="N962" s="4"/>
      <c r="O962" s="4"/>
      <c r="P962" s="4"/>
      <c r="Q962" s="4"/>
    </row>
    <row r="963">
      <c r="A963" s="5">
        <v>962.0</v>
      </c>
      <c r="B963" s="5" t="s">
        <v>1285</v>
      </c>
      <c r="C963" s="5" t="s">
        <v>1286</v>
      </c>
      <c r="D963" s="6">
        <f>IFERROR(__xludf.DUMMYFUNCTION("SPLIT(MID(C963,2,LEN(C963)-2), "","")"),1100.0)</f>
        <v>1100</v>
      </c>
      <c r="E963" s="7"/>
      <c r="F963" s="7"/>
      <c r="G963" s="2" t="str">
        <f t="array" ref="G963">IF(ISBLANK(D963), "", INDEX(Categories!$B:$B,MATCH(D963,Categories!$A:$A,0)))</f>
        <v>Bars Grills &amp; Pubs</v>
      </c>
      <c r="H963" s="7" t="str">
        <f t="array" ref="H963">IF(ISBLANK(E963), "", INDEX(Categories!$B:$B,MATCH(E963,Categories!$A:$A,0)))</f>
        <v/>
      </c>
      <c r="I963" s="7" t="str">
        <f t="array" ref="I963">IF(ISBLANK(F963), "", INDEX(Categories!$B:$B,MATCH(F963,Categories!$A:$A,0)))</f>
        <v/>
      </c>
      <c r="J963" s="4"/>
      <c r="K963" s="4"/>
      <c r="L963" s="4"/>
      <c r="M963" s="4"/>
      <c r="N963" s="4"/>
      <c r="O963" s="4"/>
      <c r="P963" s="4"/>
      <c r="Q963" s="4"/>
    </row>
    <row r="964">
      <c r="A964" s="5">
        <v>963.0</v>
      </c>
      <c r="B964" s="5" t="s">
        <v>1287</v>
      </c>
      <c r="C964" s="5" t="s">
        <v>309</v>
      </c>
      <c r="D964" s="6">
        <f>IFERROR(__xludf.DUMMYFUNCTION("SPLIT(MID(C964,2,LEN(C964)-2), "","")"),458.0)</f>
        <v>458</v>
      </c>
      <c r="E964" s="7"/>
      <c r="F964" s="7"/>
      <c r="G964" s="2" t="str">
        <f t="array" ref="G964">IF(ISBLANK(D964), "", INDEX(Categories!$B:$B,MATCH(D964,Categories!$A:$A,0)))</f>
        <v>Real Estate - Brokers &amp; Agents</v>
      </c>
      <c r="H964" s="7" t="str">
        <f t="array" ref="H964">IF(ISBLANK(E964), "", INDEX(Categories!$B:$B,MATCH(E964,Categories!$A:$A,0)))</f>
        <v/>
      </c>
      <c r="I964" s="7" t="str">
        <f t="array" ref="I964">IF(ISBLANK(F964), "", INDEX(Categories!$B:$B,MATCH(F964,Categories!$A:$A,0)))</f>
        <v/>
      </c>
      <c r="J964" s="4"/>
      <c r="K964" s="4"/>
      <c r="L964" s="4"/>
      <c r="M964" s="4"/>
      <c r="N964" s="4"/>
      <c r="O964" s="4"/>
      <c r="P964" s="4"/>
      <c r="Q964" s="4"/>
    </row>
    <row r="965">
      <c r="A965" s="5">
        <v>964.0</v>
      </c>
      <c r="B965" s="5" t="s">
        <v>1288</v>
      </c>
      <c r="C965" s="5" t="s">
        <v>346</v>
      </c>
      <c r="D965" s="6">
        <f>IFERROR(__xludf.DUMMYFUNCTION("SPLIT(MID(C965,2,LEN(C965)-2), "","")"),610.0)</f>
        <v>610</v>
      </c>
      <c r="E965" s="7"/>
      <c r="F965" s="7"/>
      <c r="G965" s="2" t="str">
        <f t="array" ref="G965">IF(ISBLANK(D965), "", INDEX(Categories!$B:$B,MATCH(D965,Categories!$A:$A,0)))</f>
        <v>Supermarkets &amp; Super Stores</v>
      </c>
      <c r="H965" s="7" t="str">
        <f t="array" ref="H965">IF(ISBLANK(E965), "", INDEX(Categories!$B:$B,MATCH(E965,Categories!$A:$A,0)))</f>
        <v/>
      </c>
      <c r="I965" s="7" t="str">
        <f t="array" ref="I965">IF(ISBLANK(F965), "", INDEX(Categories!$B:$B,MATCH(F965,Categories!$A:$A,0)))</f>
        <v/>
      </c>
      <c r="J965" s="4"/>
      <c r="K965" s="4"/>
      <c r="L965" s="4"/>
      <c r="M965" s="4"/>
      <c r="N965" s="4"/>
      <c r="O965" s="4"/>
      <c r="P965" s="4"/>
      <c r="Q965" s="4"/>
    </row>
    <row r="966">
      <c r="A966" s="5">
        <v>965.0</v>
      </c>
      <c r="B966" s="5" t="s">
        <v>1289</v>
      </c>
      <c r="C966" s="5" t="s">
        <v>428</v>
      </c>
      <c r="D966" s="6">
        <f>IFERROR(__xludf.DUMMYFUNCTION("SPLIT(MID(C966,2,LEN(C966)-2), "","")"),558.0)</f>
        <v>558</v>
      </c>
      <c r="E966" s="7"/>
      <c r="F966" s="7"/>
      <c r="G966" s="2" t="str">
        <f t="array" ref="G966">IF(ISBLANK(D966), "", INDEX(Categories!$B:$B,MATCH(D966,Categories!$A:$A,0)))</f>
        <v>Employment Agencies</v>
      </c>
      <c r="H966" s="7" t="str">
        <f t="array" ref="H966">IF(ISBLANK(E966), "", INDEX(Categories!$B:$B,MATCH(E966,Categories!$A:$A,0)))</f>
        <v/>
      </c>
      <c r="I966" s="7" t="str">
        <f t="array" ref="I966">IF(ISBLANK(F966), "", INDEX(Categories!$B:$B,MATCH(F966,Categories!$A:$A,0)))</f>
        <v/>
      </c>
      <c r="J966" s="4"/>
      <c r="K966" s="4"/>
      <c r="L966" s="4"/>
      <c r="M966" s="4"/>
      <c r="N966" s="4"/>
      <c r="O966" s="4"/>
      <c r="P966" s="4"/>
      <c r="Q966" s="4"/>
    </row>
    <row r="967">
      <c r="A967" s="5">
        <v>966.0</v>
      </c>
      <c r="B967" s="5" t="s">
        <v>1290</v>
      </c>
      <c r="C967" s="5" t="s">
        <v>188</v>
      </c>
      <c r="D967" s="6">
        <f>IFERROR(__xludf.DUMMYFUNCTION("SPLIT(MID(C967,2,LEN(C967)-2), "","")"),534.0)</f>
        <v>534</v>
      </c>
      <c r="E967" s="7"/>
      <c r="F967" s="7"/>
      <c r="G967" s="2" t="str">
        <f t="array" ref="G967">IF(ISBLANK(D967), "", INDEX(Categories!$B:$B,MATCH(D967,Categories!$A:$A,0)))</f>
        <v>Moving Services</v>
      </c>
      <c r="H967" s="7" t="str">
        <f t="array" ref="H967">IF(ISBLANK(E967), "", INDEX(Categories!$B:$B,MATCH(E967,Categories!$A:$A,0)))</f>
        <v/>
      </c>
      <c r="I967" s="7" t="str">
        <f t="array" ref="I967">IF(ISBLANK(F967), "", INDEX(Categories!$B:$B,MATCH(F967,Categories!$A:$A,0)))</f>
        <v/>
      </c>
      <c r="J967" s="4"/>
      <c r="K967" s="4"/>
      <c r="L967" s="4"/>
      <c r="M967" s="4"/>
      <c r="N967" s="4"/>
      <c r="O967" s="4"/>
      <c r="P967" s="4"/>
      <c r="Q967" s="4"/>
    </row>
    <row r="968">
      <c r="A968" s="5">
        <v>967.0</v>
      </c>
      <c r="B968" s="5" t="s">
        <v>1291</v>
      </c>
      <c r="C968" s="5" t="s">
        <v>139</v>
      </c>
      <c r="D968" s="6">
        <f>IFERROR(__xludf.DUMMYFUNCTION("SPLIT(MID(C968,2,LEN(C968)-2), "","")"),1617.0)</f>
        <v>1617</v>
      </c>
      <c r="E968" s="7"/>
      <c r="F968" s="7"/>
      <c r="G968" s="2" t="str">
        <f t="array" ref="G968">IF(ISBLANK(D968), "", INDEX(Categories!$B:$B,MATCH(D968,Categories!$A:$A,0)))</f>
        <v>Department Stores</v>
      </c>
      <c r="H968" s="7" t="str">
        <f t="array" ref="H968">IF(ISBLANK(E968), "", INDEX(Categories!$B:$B,MATCH(E968,Categories!$A:$A,0)))</f>
        <v/>
      </c>
      <c r="I968" s="7" t="str">
        <f t="array" ref="I968">IF(ISBLANK(F968), "", INDEX(Categories!$B:$B,MATCH(F968,Categories!$A:$A,0)))</f>
        <v/>
      </c>
      <c r="J968" s="4"/>
      <c r="K968" s="4"/>
      <c r="L968" s="4"/>
      <c r="M968" s="4"/>
      <c r="N968" s="4"/>
      <c r="O968" s="4"/>
      <c r="P968" s="4"/>
      <c r="Q968" s="4"/>
    </row>
    <row r="969">
      <c r="A969" s="5">
        <v>968.0</v>
      </c>
      <c r="B969" s="5" t="s">
        <v>1292</v>
      </c>
      <c r="C969" s="5" t="s">
        <v>646</v>
      </c>
      <c r="D969" s="6">
        <f>IFERROR(__xludf.DUMMYFUNCTION("SPLIT(MID(C969,2,LEN(C969)-2), "","")"),2762.0)</f>
        <v>2762</v>
      </c>
      <c r="E969" s="7"/>
      <c r="F969" s="7"/>
      <c r="G969" s="2" t="str">
        <f t="array" ref="G969">IF(ISBLANK(D969), "", INDEX(Categories!$B:$B,MATCH(D969,Categories!$A:$A,0)))</f>
        <v>Executive Search Consultants</v>
      </c>
      <c r="H969" s="7" t="str">
        <f t="array" ref="H969">IF(ISBLANK(E969), "", INDEX(Categories!$B:$B,MATCH(E969,Categories!$A:$A,0)))</f>
        <v/>
      </c>
      <c r="I969" s="7" t="str">
        <f t="array" ref="I969">IF(ISBLANK(F969), "", INDEX(Categories!$B:$B,MATCH(F969,Categories!$A:$A,0)))</f>
        <v/>
      </c>
      <c r="J969" s="4"/>
      <c r="K969" s="4"/>
      <c r="L969" s="4"/>
      <c r="M969" s="4"/>
      <c r="N969" s="4"/>
      <c r="O969" s="4"/>
      <c r="P969" s="4"/>
      <c r="Q969" s="4"/>
    </row>
    <row r="970">
      <c r="A970" s="5">
        <v>969.0</v>
      </c>
      <c r="B970" s="5" t="s">
        <v>1293</v>
      </c>
      <c r="C970" s="5" t="s">
        <v>1257</v>
      </c>
      <c r="D970" s="6">
        <f>IFERROR(__xludf.DUMMYFUNCTION("SPLIT(MID(C970,2,LEN(C970)-2), "","")"),2629.0)</f>
        <v>2629</v>
      </c>
      <c r="E970" s="7"/>
      <c r="F970" s="7"/>
      <c r="G970" s="2" t="str">
        <f t="array" ref="G970">IF(ISBLANK(D970), "", INDEX(Categories!$B:$B,MATCH(D970,Categories!$A:$A,0)))</f>
        <v>Tanning Salons</v>
      </c>
      <c r="H970" s="7" t="str">
        <f t="array" ref="H970">IF(ISBLANK(E970), "", INDEX(Categories!$B:$B,MATCH(E970,Categories!$A:$A,0)))</f>
        <v/>
      </c>
      <c r="I970" s="7" t="str">
        <f t="array" ref="I970">IF(ISBLANK(F970), "", INDEX(Categories!$B:$B,MATCH(F970,Categories!$A:$A,0)))</f>
        <v/>
      </c>
      <c r="J970" s="4"/>
      <c r="K970" s="4"/>
      <c r="L970" s="4"/>
      <c r="M970" s="4"/>
      <c r="N970" s="4"/>
      <c r="O970" s="4"/>
      <c r="P970" s="4"/>
      <c r="Q970" s="4"/>
    </row>
    <row r="971">
      <c r="A971" s="5">
        <v>970.0</v>
      </c>
      <c r="B971" s="5" t="s">
        <v>1294</v>
      </c>
      <c r="C971" s="5" t="s">
        <v>62</v>
      </c>
      <c r="D971" s="6">
        <f>IFERROR(__xludf.DUMMYFUNCTION("SPLIT(MID(C971,2,LEN(C971)-2), "","")"),242.0)</f>
        <v>242</v>
      </c>
      <c r="E971" s="7"/>
      <c r="F971" s="7"/>
      <c r="G971" s="2" t="str">
        <f t="array" ref="G971">IF(ISBLANK(D971), "", INDEX(Categories!$B:$B,MATCH(D971,Categories!$A:$A,0)))</f>
        <v>Restaurants Pizza</v>
      </c>
      <c r="H971" s="7" t="str">
        <f t="array" ref="H971">IF(ISBLANK(E971), "", INDEX(Categories!$B:$B,MATCH(E971,Categories!$A:$A,0)))</f>
        <v/>
      </c>
      <c r="I971" s="7" t="str">
        <f t="array" ref="I971">IF(ISBLANK(F971), "", INDEX(Categories!$B:$B,MATCH(F971,Categories!$A:$A,0)))</f>
        <v/>
      </c>
      <c r="J971" s="4"/>
      <c r="K971" s="4"/>
      <c r="L971" s="4"/>
      <c r="M971" s="4"/>
      <c r="N971" s="4"/>
      <c r="O971" s="4"/>
      <c r="P971" s="4"/>
      <c r="Q971" s="4"/>
    </row>
    <row r="972">
      <c r="A972" s="5">
        <v>971.0</v>
      </c>
      <c r="B972" s="5" t="s">
        <v>1295</v>
      </c>
      <c r="C972" s="5" t="s">
        <v>906</v>
      </c>
      <c r="D972" s="6">
        <f>IFERROR(__xludf.DUMMYFUNCTION("SPLIT(MID(C972,2,LEN(C972)-2), "","")"),1394.0)</f>
        <v>1394</v>
      </c>
      <c r="E972" s="7"/>
      <c r="F972" s="7"/>
      <c r="G972" s="2" t="str">
        <f t="array" ref="G972">IF(ISBLANK(D972), "", INDEX(Categories!$B:$B,MATCH(D972,Categories!$A:$A,0)))</f>
        <v>Warehouses Mini &amp; Self Storage</v>
      </c>
      <c r="H972" s="7" t="str">
        <f t="array" ref="H972">IF(ISBLANK(E972), "", INDEX(Categories!$B:$B,MATCH(E972,Categories!$A:$A,0)))</f>
        <v/>
      </c>
      <c r="I972" s="7" t="str">
        <f t="array" ref="I972">IF(ISBLANK(F972), "", INDEX(Categories!$B:$B,MATCH(F972,Categories!$A:$A,0)))</f>
        <v/>
      </c>
      <c r="J972" s="4"/>
      <c r="K972" s="4"/>
      <c r="L972" s="4"/>
      <c r="M972" s="4"/>
      <c r="N972" s="4"/>
      <c r="O972" s="4"/>
      <c r="P972" s="4"/>
      <c r="Q972" s="4"/>
    </row>
    <row r="973">
      <c r="A973" s="5">
        <v>972.0</v>
      </c>
      <c r="B973" s="5" t="s">
        <v>1296</v>
      </c>
      <c r="C973" s="5" t="s">
        <v>34</v>
      </c>
      <c r="D973" s="6">
        <f>IFERROR(__xludf.DUMMYFUNCTION("SPLIT(MID(C973,2,LEN(C973)-2), "","")"),228.0)</f>
        <v>228</v>
      </c>
      <c r="E973" s="7"/>
      <c r="F973" s="7"/>
      <c r="G973" s="2" t="str">
        <f t="array" ref="G973">IF(ISBLANK(D973), "", INDEX(Categories!$B:$B,MATCH(D973,Categories!$A:$A,0)))</f>
        <v>Restaurants</v>
      </c>
      <c r="H973" s="7" t="str">
        <f t="array" ref="H973">IF(ISBLANK(E973), "", INDEX(Categories!$B:$B,MATCH(E973,Categories!$A:$A,0)))</f>
        <v/>
      </c>
      <c r="I973" s="7" t="str">
        <f t="array" ref="I973">IF(ISBLANK(F973), "", INDEX(Categories!$B:$B,MATCH(F973,Categories!$A:$A,0)))</f>
        <v/>
      </c>
      <c r="J973" s="4"/>
      <c r="K973" s="4"/>
      <c r="L973" s="4"/>
      <c r="M973" s="4"/>
      <c r="N973" s="4"/>
      <c r="O973" s="4"/>
      <c r="P973" s="4"/>
      <c r="Q973" s="4"/>
    </row>
    <row r="974">
      <c r="A974" s="5">
        <v>973.0</v>
      </c>
      <c r="B974" s="5" t="s">
        <v>1297</v>
      </c>
      <c r="C974" s="5" t="s">
        <v>69</v>
      </c>
      <c r="D974" s="6">
        <f>IFERROR(__xludf.DUMMYFUNCTION("SPLIT(MID(C974,2,LEN(C974)-2), "","")"),293.0)</f>
        <v>293</v>
      </c>
      <c r="E974" s="7"/>
      <c r="F974" s="7"/>
      <c r="G974" s="2" t="str">
        <f t="array" ref="G974">IF(ISBLANK(D974), "", INDEX(Categories!$B:$B,MATCH(D974,Categories!$A:$A,0)))</f>
        <v>Banks Commercial</v>
      </c>
      <c r="H974" s="7" t="str">
        <f t="array" ref="H974">IF(ISBLANK(E974), "", INDEX(Categories!$B:$B,MATCH(E974,Categories!$A:$A,0)))</f>
        <v/>
      </c>
      <c r="I974" s="7" t="str">
        <f t="array" ref="I974">IF(ISBLANK(F974), "", INDEX(Categories!$B:$B,MATCH(F974,Categories!$A:$A,0)))</f>
        <v/>
      </c>
      <c r="J974" s="4"/>
      <c r="K974" s="4"/>
      <c r="L974" s="4"/>
      <c r="M974" s="4"/>
      <c r="N974" s="4"/>
      <c r="O974" s="4"/>
      <c r="P974" s="4"/>
      <c r="Q974" s="4"/>
    </row>
    <row r="975">
      <c r="A975" s="5">
        <v>974.0</v>
      </c>
      <c r="B975" s="5" t="s">
        <v>1298</v>
      </c>
      <c r="C975" s="5" t="s">
        <v>69</v>
      </c>
      <c r="D975" s="6">
        <f>IFERROR(__xludf.DUMMYFUNCTION("SPLIT(MID(C975,2,LEN(C975)-2), "","")"),293.0)</f>
        <v>293</v>
      </c>
      <c r="E975" s="7"/>
      <c r="F975" s="7"/>
      <c r="G975" s="2" t="str">
        <f t="array" ref="G975">IF(ISBLANK(D975), "", INDEX(Categories!$B:$B,MATCH(D975,Categories!$A:$A,0)))</f>
        <v>Banks Commercial</v>
      </c>
      <c r="H975" s="7" t="str">
        <f t="array" ref="H975">IF(ISBLANK(E975), "", INDEX(Categories!$B:$B,MATCH(E975,Categories!$A:$A,0)))</f>
        <v/>
      </c>
      <c r="I975" s="7" t="str">
        <f t="array" ref="I975">IF(ISBLANK(F975), "", INDEX(Categories!$B:$B,MATCH(F975,Categories!$A:$A,0)))</f>
        <v/>
      </c>
      <c r="J975" s="4"/>
      <c r="K975" s="4"/>
      <c r="L975" s="4"/>
      <c r="M975" s="4"/>
      <c r="N975" s="4"/>
      <c r="O975" s="4"/>
      <c r="P975" s="4"/>
      <c r="Q975" s="4"/>
    </row>
    <row r="976">
      <c r="A976" s="5">
        <v>975.0</v>
      </c>
      <c r="B976" s="5" t="s">
        <v>1299</v>
      </c>
      <c r="C976" s="5" t="s">
        <v>1300</v>
      </c>
      <c r="D976" s="6">
        <f>IFERROR(__xludf.DUMMYFUNCTION("SPLIT(MID(C976,2,LEN(C976)-2), "","")"),785.0)</f>
        <v>785</v>
      </c>
      <c r="E976" s="7"/>
      <c r="F976" s="7"/>
      <c r="G976" s="2" t="str">
        <f t="array" ref="G976">IF(ISBLANK(D976), "", INDEX(Categories!$B:$B,MATCH(D976,Categories!$A:$A,0)))</f>
        <v>Advertising Direct Mail</v>
      </c>
      <c r="H976" s="7" t="str">
        <f t="array" ref="H976">IF(ISBLANK(E976), "", INDEX(Categories!$B:$B,MATCH(E976,Categories!$A:$A,0)))</f>
        <v/>
      </c>
      <c r="I976" s="7" t="str">
        <f t="array" ref="I976">IF(ISBLANK(F976), "", INDEX(Categories!$B:$B,MATCH(F976,Categories!$A:$A,0)))</f>
        <v/>
      </c>
      <c r="J976" s="4"/>
      <c r="K976" s="4"/>
      <c r="L976" s="4"/>
      <c r="M976" s="4"/>
      <c r="N976" s="4"/>
      <c r="O976" s="4"/>
      <c r="P976" s="4"/>
      <c r="Q976" s="4"/>
    </row>
    <row r="977">
      <c r="A977" s="5">
        <v>976.0</v>
      </c>
      <c r="B977" s="5" t="s">
        <v>1301</v>
      </c>
      <c r="C977" s="5" t="s">
        <v>1302</v>
      </c>
      <c r="D977" s="6">
        <f>IFERROR(__xludf.DUMMYFUNCTION("SPLIT(MID(C977,2,LEN(C977)-2), "","")"),191.0)</f>
        <v>191</v>
      </c>
      <c r="E977" s="7"/>
      <c r="F977" s="7"/>
      <c r="G977" s="2" t="str">
        <f t="array" ref="G977">IF(ISBLANK(D977), "", INDEX(Categories!$B:$B,MATCH(D977,Categories!$A:$A,0)))</f>
        <v>Pharmaceutical Products Wholesale &amp; Manufacturers</v>
      </c>
      <c r="H977" s="7" t="str">
        <f t="array" ref="H977">IF(ISBLANK(E977), "", INDEX(Categories!$B:$B,MATCH(E977,Categories!$A:$A,0)))</f>
        <v/>
      </c>
      <c r="I977" s="7" t="str">
        <f t="array" ref="I977">IF(ISBLANK(F977), "", INDEX(Categories!$B:$B,MATCH(F977,Categories!$A:$A,0)))</f>
        <v/>
      </c>
      <c r="J977" s="4"/>
      <c r="K977" s="4"/>
      <c r="L977" s="4"/>
      <c r="M977" s="4"/>
      <c r="N977" s="4"/>
      <c r="O977" s="4"/>
      <c r="P977" s="4"/>
      <c r="Q977" s="4"/>
    </row>
    <row r="978">
      <c r="A978" s="5">
        <v>977.0</v>
      </c>
      <c r="B978" s="5" t="s">
        <v>1303</v>
      </c>
      <c r="C978" s="5" t="s">
        <v>1200</v>
      </c>
      <c r="D978" s="6">
        <f>IFERROR(__xludf.DUMMYFUNCTION("SPLIT(MID(C978,2,LEN(C978)-2), "","")"),299.0)</f>
        <v>299</v>
      </c>
      <c r="E978" s="7"/>
      <c r="F978" s="7"/>
      <c r="G978" s="2" t="str">
        <f t="array" ref="G978">IF(ISBLANK(D978), "", INDEX(Categories!$B:$B,MATCH(D978,Categories!$A:$A,0)))</f>
        <v>Automated Teller Machine (atm)</v>
      </c>
      <c r="H978" s="7" t="str">
        <f t="array" ref="H978">IF(ISBLANK(E978), "", INDEX(Categories!$B:$B,MATCH(E978,Categories!$A:$A,0)))</f>
        <v/>
      </c>
      <c r="I978" s="7" t="str">
        <f t="array" ref="I978">IF(ISBLANK(F978), "", INDEX(Categories!$B:$B,MATCH(F978,Categories!$A:$A,0)))</f>
        <v/>
      </c>
      <c r="J978" s="4"/>
      <c r="K978" s="4"/>
      <c r="L978" s="4"/>
      <c r="M978" s="4"/>
      <c r="N978" s="4"/>
      <c r="O978" s="4"/>
      <c r="P978" s="4"/>
      <c r="Q978" s="4"/>
    </row>
    <row r="979">
      <c r="A979" s="5">
        <v>978.0</v>
      </c>
      <c r="B979" s="5" t="s">
        <v>1304</v>
      </c>
      <c r="C979" s="5" t="s">
        <v>1023</v>
      </c>
      <c r="D979" s="6">
        <f>IFERROR(__xludf.DUMMYFUNCTION("SPLIT(MID(C979,2,LEN(C979)-2), "","")"),1023.0)</f>
        <v>1023</v>
      </c>
      <c r="E979" s="7"/>
      <c r="F979" s="7"/>
      <c r="G979" s="2" t="str">
        <f t="array" ref="G979">IF(ISBLANK(D979), "", INDEX(Categories!$B:$B,MATCH(D979,Categories!$A:$A,0)))</f>
        <v>Security Service &amp; Systems</v>
      </c>
      <c r="H979" s="7" t="str">
        <f t="array" ref="H979">IF(ISBLANK(E979), "", INDEX(Categories!$B:$B,MATCH(E979,Categories!$A:$A,0)))</f>
        <v/>
      </c>
      <c r="I979" s="7" t="str">
        <f t="array" ref="I979">IF(ISBLANK(F979), "", INDEX(Categories!$B:$B,MATCH(F979,Categories!$A:$A,0)))</f>
        <v/>
      </c>
      <c r="J979" s="4"/>
      <c r="K979" s="4"/>
      <c r="L979" s="4"/>
      <c r="M979" s="4"/>
      <c r="N979" s="4"/>
      <c r="O979" s="4"/>
      <c r="P979" s="4"/>
      <c r="Q979" s="4"/>
    </row>
    <row r="980">
      <c r="A980" s="5">
        <v>979.0</v>
      </c>
      <c r="B980" s="5" t="s">
        <v>1305</v>
      </c>
      <c r="C980" s="5" t="s">
        <v>1238</v>
      </c>
      <c r="D980" s="6">
        <f>IFERROR(__xludf.DUMMYFUNCTION("SPLIT(MID(C980,2,LEN(C980)-2), "","")"),301.0)</f>
        <v>301</v>
      </c>
      <c r="E980" s="7"/>
      <c r="F980" s="7"/>
      <c r="G980" s="2" t="str">
        <f t="array" ref="G980">IF(ISBLANK(D980), "", INDEX(Categories!$B:$B,MATCH(D980,Categories!$A:$A,0)))</f>
        <v>Locks &amp; Locksmiths</v>
      </c>
      <c r="H980" s="7" t="str">
        <f t="array" ref="H980">IF(ISBLANK(E980), "", INDEX(Categories!$B:$B,MATCH(E980,Categories!$A:$A,0)))</f>
        <v/>
      </c>
      <c r="I980" s="7" t="str">
        <f t="array" ref="I980">IF(ISBLANK(F980), "", INDEX(Categories!$B:$B,MATCH(F980,Categories!$A:$A,0)))</f>
        <v/>
      </c>
      <c r="J980" s="4"/>
      <c r="K980" s="4"/>
      <c r="L980" s="4"/>
      <c r="M980" s="4"/>
      <c r="N980" s="4"/>
      <c r="O980" s="4"/>
      <c r="P980" s="4"/>
      <c r="Q980" s="4"/>
    </row>
    <row r="981">
      <c r="A981" s="5">
        <v>980.0</v>
      </c>
      <c r="B981" s="5" t="s">
        <v>1306</v>
      </c>
      <c r="C981" s="5" t="s">
        <v>428</v>
      </c>
      <c r="D981" s="6">
        <f>IFERROR(__xludf.DUMMYFUNCTION("SPLIT(MID(C981,2,LEN(C981)-2), "","")"),558.0)</f>
        <v>558</v>
      </c>
      <c r="E981" s="7"/>
      <c r="F981" s="7"/>
      <c r="G981" s="2" t="str">
        <f t="array" ref="G981">IF(ISBLANK(D981), "", INDEX(Categories!$B:$B,MATCH(D981,Categories!$A:$A,0)))</f>
        <v>Employment Agencies</v>
      </c>
      <c r="H981" s="7" t="str">
        <f t="array" ref="H981">IF(ISBLANK(E981), "", INDEX(Categories!$B:$B,MATCH(E981,Categories!$A:$A,0)))</f>
        <v/>
      </c>
      <c r="I981" s="7" t="str">
        <f t="array" ref="I981">IF(ISBLANK(F981), "", INDEX(Categories!$B:$B,MATCH(F981,Categories!$A:$A,0)))</f>
        <v/>
      </c>
      <c r="J981" s="4"/>
      <c r="K981" s="4"/>
      <c r="L981" s="4"/>
      <c r="M981" s="4"/>
      <c r="N981" s="4"/>
      <c r="O981" s="4"/>
      <c r="P981" s="4"/>
      <c r="Q981" s="4"/>
    </row>
    <row r="982">
      <c r="A982" s="5">
        <v>981.0</v>
      </c>
      <c r="B982" s="5" t="s">
        <v>1307</v>
      </c>
      <c r="C982" s="5" t="s">
        <v>111</v>
      </c>
      <c r="D982" s="6">
        <f>IFERROR(__xludf.DUMMYFUNCTION("SPLIT(MID(C982,2,LEN(C982)-2), "","")"),444.0)</f>
        <v>444</v>
      </c>
      <c r="E982" s="7"/>
      <c r="F982" s="7"/>
      <c r="G982" s="2" t="str">
        <f t="array" ref="G982">IF(ISBLANK(D982), "", INDEX(Categories!$B:$B,MATCH(D982,Categories!$A:$A,0)))</f>
        <v>Hair Salons &amp; Barbers</v>
      </c>
      <c r="H982" s="7" t="str">
        <f t="array" ref="H982">IF(ISBLANK(E982), "", INDEX(Categories!$B:$B,MATCH(E982,Categories!$A:$A,0)))</f>
        <v/>
      </c>
      <c r="I982" s="7" t="str">
        <f t="array" ref="I982">IF(ISBLANK(F982), "", INDEX(Categories!$B:$B,MATCH(F982,Categories!$A:$A,0)))</f>
        <v/>
      </c>
      <c r="J982" s="4"/>
      <c r="K982" s="4"/>
      <c r="L982" s="4"/>
      <c r="M982" s="4"/>
      <c r="N982" s="4"/>
      <c r="O982" s="4"/>
      <c r="P982" s="4"/>
      <c r="Q982" s="4"/>
    </row>
    <row r="983">
      <c r="A983" s="5">
        <v>982.0</v>
      </c>
      <c r="B983" s="5" t="s">
        <v>1308</v>
      </c>
      <c r="C983" s="5" t="s">
        <v>307</v>
      </c>
      <c r="D983" s="6">
        <f>IFERROR(__xludf.DUMMYFUNCTION("SPLIT(MID(C983,2,LEN(C983)-2), "","")"),241.0)</f>
        <v>241</v>
      </c>
      <c r="E983" s="7"/>
      <c r="F983" s="7"/>
      <c r="G983" s="2" t="str">
        <f t="array" ref="G983">IF(ISBLANK(D983), "", INDEX(Categories!$B:$B,MATCH(D983,Categories!$A:$A,0)))</f>
        <v>Restaurants Mexican</v>
      </c>
      <c r="H983" s="7" t="str">
        <f t="array" ref="H983">IF(ISBLANK(E983), "", INDEX(Categories!$B:$B,MATCH(E983,Categories!$A:$A,0)))</f>
        <v/>
      </c>
      <c r="I983" s="7" t="str">
        <f t="array" ref="I983">IF(ISBLANK(F983), "", INDEX(Categories!$B:$B,MATCH(F983,Categories!$A:$A,0)))</f>
        <v/>
      </c>
      <c r="J983" s="4"/>
      <c r="K983" s="4"/>
      <c r="L983" s="4"/>
      <c r="M983" s="4"/>
      <c r="N983" s="4"/>
      <c r="O983" s="4"/>
      <c r="P983" s="4"/>
      <c r="Q983" s="4"/>
    </row>
    <row r="984">
      <c r="A984" s="5">
        <v>983.0</v>
      </c>
      <c r="B984" s="5" t="s">
        <v>1309</v>
      </c>
      <c r="C984" s="5" t="s">
        <v>322</v>
      </c>
      <c r="D984" s="6">
        <f>IFERROR(__xludf.DUMMYFUNCTION("SPLIT(MID(C984,2,LEN(C984)-2), "","")"),561.0)</f>
        <v>561</v>
      </c>
      <c r="E984" s="7"/>
      <c r="F984" s="7"/>
      <c r="G984" s="2" t="str">
        <f t="array" ref="G984">IF(ISBLANK(D984), "", INDEX(Categories!$B:$B,MATCH(D984,Categories!$A:$A,0)))</f>
        <v>Employment Placement Services</v>
      </c>
      <c r="H984" s="7" t="str">
        <f t="array" ref="H984">IF(ISBLANK(E984), "", INDEX(Categories!$B:$B,MATCH(E984,Categories!$A:$A,0)))</f>
        <v/>
      </c>
      <c r="I984" s="7" t="str">
        <f t="array" ref="I984">IF(ISBLANK(F984), "", INDEX(Categories!$B:$B,MATCH(F984,Categories!$A:$A,0)))</f>
        <v/>
      </c>
      <c r="J984" s="4"/>
      <c r="K984" s="4"/>
      <c r="L984" s="4"/>
      <c r="M984" s="4"/>
      <c r="N984" s="4"/>
      <c r="O984" s="4"/>
      <c r="P984" s="4"/>
      <c r="Q984" s="4"/>
    </row>
    <row r="985">
      <c r="A985" s="5">
        <v>984.0</v>
      </c>
      <c r="B985" s="5" t="s">
        <v>1310</v>
      </c>
      <c r="C985" s="5" t="s">
        <v>309</v>
      </c>
      <c r="D985" s="6">
        <f>IFERROR(__xludf.DUMMYFUNCTION("SPLIT(MID(C985,2,LEN(C985)-2), "","")"),458.0)</f>
        <v>458</v>
      </c>
      <c r="E985" s="7"/>
      <c r="F985" s="7"/>
      <c r="G985" s="2" t="str">
        <f t="array" ref="G985">IF(ISBLANK(D985), "", INDEX(Categories!$B:$B,MATCH(D985,Categories!$A:$A,0)))</f>
        <v>Real Estate - Brokers &amp; Agents</v>
      </c>
      <c r="H985" s="7" t="str">
        <f t="array" ref="H985">IF(ISBLANK(E985), "", INDEX(Categories!$B:$B,MATCH(E985,Categories!$A:$A,0)))</f>
        <v/>
      </c>
      <c r="I985" s="7" t="str">
        <f t="array" ref="I985">IF(ISBLANK(F985), "", INDEX(Categories!$B:$B,MATCH(F985,Categories!$A:$A,0)))</f>
        <v/>
      </c>
      <c r="J985" s="4"/>
      <c r="K985" s="4"/>
      <c r="L985" s="4"/>
      <c r="M985" s="4"/>
      <c r="N985" s="4"/>
      <c r="O985" s="4"/>
      <c r="P985" s="4"/>
      <c r="Q985" s="4"/>
    </row>
    <row r="986">
      <c r="A986" s="5">
        <v>985.0</v>
      </c>
      <c r="B986" s="5" t="s">
        <v>1311</v>
      </c>
      <c r="C986" s="5" t="s">
        <v>194</v>
      </c>
      <c r="D986" s="6">
        <f>IFERROR(__xludf.DUMMYFUNCTION("SPLIT(MID(C986,2,LEN(C986)-2), "","")"),442.0)</f>
        <v>442</v>
      </c>
      <c r="E986" s="7"/>
      <c r="F986" s="7"/>
      <c r="G986" s="2" t="str">
        <f t="array" ref="G986">IF(ISBLANK(D986), "", INDEX(Categories!$B:$B,MATCH(D986,Categories!$A:$A,0)))</f>
        <v>Pest Control Services</v>
      </c>
      <c r="H986" s="7" t="str">
        <f t="array" ref="H986">IF(ISBLANK(E986), "", INDEX(Categories!$B:$B,MATCH(E986,Categories!$A:$A,0)))</f>
        <v/>
      </c>
      <c r="I986" s="7" t="str">
        <f t="array" ref="I986">IF(ISBLANK(F986), "", INDEX(Categories!$B:$B,MATCH(F986,Categories!$A:$A,0)))</f>
        <v/>
      </c>
      <c r="J986" s="4"/>
      <c r="K986" s="4"/>
      <c r="L986" s="4"/>
      <c r="M986" s="4"/>
      <c r="N986" s="4"/>
      <c r="O986" s="4"/>
      <c r="P986" s="4"/>
      <c r="Q986" s="4"/>
    </row>
    <row r="987">
      <c r="A987" s="5">
        <v>986.0</v>
      </c>
      <c r="B987" s="5" t="s">
        <v>1312</v>
      </c>
      <c r="C987" s="5" t="s">
        <v>1313</v>
      </c>
      <c r="D987" s="6">
        <f>IFERROR(__xludf.DUMMYFUNCTION("SPLIT(MID(C987,2,LEN(C987)-2), "","")"),2263.0)</f>
        <v>2263</v>
      </c>
      <c r="E987" s="7"/>
      <c r="F987" s="7"/>
      <c r="G987" s="2" t="str">
        <f t="array" ref="G987">IF(ISBLANK(D987), "", INDEX(Categories!$B:$B,MATCH(D987,Categories!$A:$A,0)))</f>
        <v>Building Construction Consultants</v>
      </c>
      <c r="H987" s="7" t="str">
        <f t="array" ref="H987">IF(ISBLANK(E987), "", INDEX(Categories!$B:$B,MATCH(E987,Categories!$A:$A,0)))</f>
        <v/>
      </c>
      <c r="I987" s="7" t="str">
        <f t="array" ref="I987">IF(ISBLANK(F987), "", INDEX(Categories!$B:$B,MATCH(F987,Categories!$A:$A,0)))</f>
        <v/>
      </c>
      <c r="J987" s="4"/>
      <c r="K987" s="4"/>
      <c r="L987" s="4"/>
      <c r="M987" s="4"/>
      <c r="N987" s="4"/>
      <c r="O987" s="4"/>
      <c r="P987" s="4"/>
      <c r="Q987" s="4"/>
    </row>
    <row r="988">
      <c r="A988" s="5">
        <v>987.0</v>
      </c>
      <c r="B988" s="5" t="s">
        <v>1314</v>
      </c>
      <c r="C988" s="5" t="s">
        <v>1315</v>
      </c>
      <c r="D988" s="6">
        <f>IFERROR(__xludf.DUMMYFUNCTION("SPLIT(MID(C988,2,LEN(C988)-2), "","")"),2566.0)</f>
        <v>2566</v>
      </c>
      <c r="E988" s="7"/>
      <c r="F988" s="7"/>
      <c r="G988" s="2" t="str">
        <f t="array" ref="G988">IF(ISBLANK(D988), "", INDEX(Categories!$B:$B,MATCH(D988,Categories!$A:$A,0)))</f>
        <v>Window Cleaning</v>
      </c>
      <c r="H988" s="7" t="str">
        <f t="array" ref="H988">IF(ISBLANK(E988), "", INDEX(Categories!$B:$B,MATCH(E988,Categories!$A:$A,0)))</f>
        <v/>
      </c>
      <c r="I988" s="7" t="str">
        <f t="array" ref="I988">IF(ISBLANK(F988), "", INDEX(Categories!$B:$B,MATCH(F988,Categories!$A:$A,0)))</f>
        <v/>
      </c>
      <c r="J988" s="4"/>
      <c r="K988" s="4"/>
      <c r="L988" s="4"/>
      <c r="M988" s="4"/>
      <c r="N988" s="4"/>
      <c r="O988" s="4"/>
      <c r="P988" s="4"/>
      <c r="Q988" s="4"/>
    </row>
    <row r="989">
      <c r="A989" s="5">
        <v>988.0</v>
      </c>
      <c r="B989" s="5" t="s">
        <v>1316</v>
      </c>
      <c r="C989" s="5" t="s">
        <v>1317</v>
      </c>
      <c r="D989" s="6">
        <f>IFERROR(__xludf.DUMMYFUNCTION("SPLIT(MID(C989,2,LEN(C989)-2), "","")"),1001.0)</f>
        <v>1001</v>
      </c>
      <c r="E989" s="7"/>
      <c r="F989" s="7"/>
      <c r="G989" s="2" t="str">
        <f t="array" ref="G989">IF(ISBLANK(D989), "", INDEX(Categories!$B:$B,MATCH(D989,Categories!$A:$A,0)))</f>
        <v>Telephone Equipment &amp; Systems Retail</v>
      </c>
      <c r="H989" s="7" t="str">
        <f t="array" ref="H989">IF(ISBLANK(E989), "", INDEX(Categories!$B:$B,MATCH(E989,Categories!$A:$A,0)))</f>
        <v/>
      </c>
      <c r="I989" s="7" t="str">
        <f t="array" ref="I989">IF(ISBLANK(F989), "", INDEX(Categories!$B:$B,MATCH(F989,Categories!$A:$A,0)))</f>
        <v/>
      </c>
      <c r="J989" s="4"/>
      <c r="K989" s="4"/>
      <c r="L989" s="4"/>
      <c r="M989" s="4"/>
      <c r="N989" s="4"/>
      <c r="O989" s="4"/>
      <c r="P989" s="4"/>
      <c r="Q989" s="4"/>
    </row>
    <row r="990">
      <c r="A990" s="5">
        <v>989.0</v>
      </c>
      <c r="B990" s="5" t="s">
        <v>1318</v>
      </c>
      <c r="C990" s="5" t="s">
        <v>147</v>
      </c>
      <c r="D990" s="6">
        <f>IFERROR(__xludf.DUMMYFUNCTION("SPLIT(MID(C990,2,LEN(C990)-2), "","")"),867.0)</f>
        <v>867</v>
      </c>
      <c r="E990" s="7"/>
      <c r="F990" s="7"/>
      <c r="G990" s="2" t="str">
        <f t="array" ref="G990">IF(ISBLANK(D990), "", INDEX(Categories!$B:$B,MATCH(D990,Categories!$A:$A,0)))</f>
        <v>Arts &amp; Crafts Supplies</v>
      </c>
      <c r="H990" s="7" t="str">
        <f t="array" ref="H990">IF(ISBLANK(E990), "", INDEX(Categories!$B:$B,MATCH(E990,Categories!$A:$A,0)))</f>
        <v/>
      </c>
      <c r="I990" s="7" t="str">
        <f t="array" ref="I990">IF(ISBLANK(F990), "", INDEX(Categories!$B:$B,MATCH(F990,Categories!$A:$A,0)))</f>
        <v/>
      </c>
      <c r="J990" s="4"/>
      <c r="K990" s="4"/>
      <c r="L990" s="4"/>
      <c r="M990" s="4"/>
      <c r="N990" s="4"/>
      <c r="O990" s="4"/>
      <c r="P990" s="4"/>
      <c r="Q990" s="4"/>
    </row>
    <row r="991">
      <c r="A991" s="5">
        <v>990.0</v>
      </c>
      <c r="B991" s="5" t="s">
        <v>1319</v>
      </c>
      <c r="C991" s="5" t="s">
        <v>382</v>
      </c>
      <c r="D991" s="6">
        <f>IFERROR(__xludf.DUMMYFUNCTION("SPLIT(MID(C991,2,LEN(C991)-2), "","")"),1598.0)</f>
        <v>1598</v>
      </c>
      <c r="E991" s="7"/>
      <c r="F991" s="7"/>
      <c r="G991" s="2" t="str">
        <f t="array" ref="G991">IF(ISBLANK(D991), "", INDEX(Categories!$B:$B,MATCH(D991,Categories!$A:$A,0)))</f>
        <v>Adult Care Facilities</v>
      </c>
      <c r="H991" s="7" t="str">
        <f t="array" ref="H991">IF(ISBLANK(E991), "", INDEX(Categories!$B:$B,MATCH(E991,Categories!$A:$A,0)))</f>
        <v/>
      </c>
      <c r="I991" s="7" t="str">
        <f t="array" ref="I991">IF(ISBLANK(F991), "", INDEX(Categories!$B:$B,MATCH(F991,Categories!$A:$A,0)))</f>
        <v/>
      </c>
      <c r="J991" s="4"/>
      <c r="K991" s="4"/>
      <c r="L991" s="4"/>
      <c r="M991" s="4"/>
      <c r="N991" s="4"/>
      <c r="O991" s="4"/>
      <c r="P991" s="4"/>
      <c r="Q991" s="4"/>
    </row>
    <row r="992">
      <c r="A992" s="5">
        <v>991.0</v>
      </c>
      <c r="B992" s="5" t="s">
        <v>1320</v>
      </c>
      <c r="C992" s="5" t="s">
        <v>69</v>
      </c>
      <c r="D992" s="6">
        <f>IFERROR(__xludf.DUMMYFUNCTION("SPLIT(MID(C992,2,LEN(C992)-2), "","")"),293.0)</f>
        <v>293</v>
      </c>
      <c r="E992" s="7"/>
      <c r="F992" s="7"/>
      <c r="G992" s="2" t="str">
        <f t="array" ref="G992">IF(ISBLANK(D992), "", INDEX(Categories!$B:$B,MATCH(D992,Categories!$A:$A,0)))</f>
        <v>Banks Commercial</v>
      </c>
      <c r="H992" s="7" t="str">
        <f t="array" ref="H992">IF(ISBLANK(E992), "", INDEX(Categories!$B:$B,MATCH(E992,Categories!$A:$A,0)))</f>
        <v/>
      </c>
      <c r="I992" s="7" t="str">
        <f t="array" ref="I992">IF(ISBLANK(F992), "", INDEX(Categories!$B:$B,MATCH(F992,Categories!$A:$A,0)))</f>
        <v/>
      </c>
      <c r="J992" s="4"/>
      <c r="K992" s="4"/>
      <c r="L992" s="4"/>
      <c r="M992" s="4"/>
      <c r="N992" s="4"/>
      <c r="O992" s="4"/>
      <c r="P992" s="4"/>
      <c r="Q992" s="4"/>
    </row>
    <row r="993">
      <c r="A993" s="5">
        <v>992.0</v>
      </c>
      <c r="B993" s="5" t="s">
        <v>1321</v>
      </c>
      <c r="C993" s="5" t="s">
        <v>1273</v>
      </c>
      <c r="D993" s="6">
        <f>IFERROR(__xludf.DUMMYFUNCTION("SPLIT(MID(C993,2,LEN(C993)-2), "","")"),690.0)</f>
        <v>690</v>
      </c>
      <c r="E993" s="7"/>
      <c r="F993" s="7"/>
      <c r="G993" s="2" t="str">
        <f t="array" ref="G993">IF(ISBLANK(D993), "", INDEX(Categories!$B:$B,MATCH(D993,Categories!$A:$A,0)))</f>
        <v>Gift Baskets &amp; Parcels</v>
      </c>
      <c r="H993" s="7" t="str">
        <f t="array" ref="H993">IF(ISBLANK(E993), "", INDEX(Categories!$B:$B,MATCH(E993,Categories!$A:$A,0)))</f>
        <v/>
      </c>
      <c r="I993" s="7" t="str">
        <f t="array" ref="I993">IF(ISBLANK(F993), "", INDEX(Categories!$B:$B,MATCH(F993,Categories!$A:$A,0)))</f>
        <v/>
      </c>
      <c r="J993" s="4"/>
      <c r="K993" s="4"/>
      <c r="L993" s="4"/>
      <c r="M993" s="4"/>
      <c r="N993" s="4"/>
      <c r="O993" s="4"/>
      <c r="P993" s="4"/>
      <c r="Q993" s="4"/>
    </row>
    <row r="994">
      <c r="A994" s="5">
        <v>993.0</v>
      </c>
      <c r="B994" s="5" t="s">
        <v>1322</v>
      </c>
      <c r="C994" s="5" t="s">
        <v>847</v>
      </c>
      <c r="D994" s="6">
        <f>IFERROR(__xludf.DUMMYFUNCTION("SPLIT(MID(C994,2,LEN(C994)-2), "","")"),728.0)</f>
        <v>728</v>
      </c>
      <c r="E994" s="7"/>
      <c r="F994" s="7"/>
      <c r="G994" s="2" t="str">
        <f t="array" ref="G994">IF(ISBLANK(D994), "", INDEX(Categories!$B:$B,MATCH(D994,Categories!$A:$A,0)))</f>
        <v>Airline Companies</v>
      </c>
      <c r="H994" s="7" t="str">
        <f t="array" ref="H994">IF(ISBLANK(E994), "", INDEX(Categories!$B:$B,MATCH(E994,Categories!$A:$A,0)))</f>
        <v/>
      </c>
      <c r="I994" s="7" t="str">
        <f t="array" ref="I994">IF(ISBLANK(F994), "", INDEX(Categories!$B:$B,MATCH(F994,Categories!$A:$A,0)))</f>
        <v/>
      </c>
      <c r="J994" s="4"/>
      <c r="K994" s="4"/>
      <c r="L994" s="4"/>
      <c r="M994" s="4"/>
      <c r="N994" s="4"/>
      <c r="O994" s="4"/>
      <c r="P994" s="4"/>
      <c r="Q994" s="4"/>
    </row>
    <row r="995">
      <c r="A995" s="5">
        <v>994.0</v>
      </c>
      <c r="B995" s="5" t="s">
        <v>1323</v>
      </c>
      <c r="C995" s="5" t="s">
        <v>87</v>
      </c>
      <c r="D995" s="6">
        <f>IFERROR(__xludf.DUMMYFUNCTION("SPLIT(MID(C995,2,LEN(C995)-2), "","")"),168.0)</f>
        <v>168</v>
      </c>
      <c r="E995" s="7"/>
      <c r="F995" s="7"/>
      <c r="G995" s="2" t="str">
        <f t="array" ref="G995">IF(ISBLANK(D995), "", INDEX(Categories!$B:$B,MATCH(D995,Categories!$A:$A,0)))</f>
        <v>Hotels &amp; Motels</v>
      </c>
      <c r="H995" s="7" t="str">
        <f t="array" ref="H995">IF(ISBLANK(E995), "", INDEX(Categories!$B:$B,MATCH(E995,Categories!$A:$A,0)))</f>
        <v/>
      </c>
      <c r="I995" s="7" t="str">
        <f t="array" ref="I995">IF(ISBLANK(F995), "", INDEX(Categories!$B:$B,MATCH(F995,Categories!$A:$A,0)))</f>
        <v/>
      </c>
      <c r="J995" s="4"/>
      <c r="K995" s="4"/>
      <c r="L995" s="4"/>
      <c r="M995" s="4"/>
      <c r="N995" s="4"/>
      <c r="O995" s="4"/>
      <c r="P995" s="4"/>
      <c r="Q995" s="4"/>
    </row>
    <row r="996">
      <c r="A996" s="5">
        <v>995.0</v>
      </c>
      <c r="B996" s="5" t="s">
        <v>1324</v>
      </c>
      <c r="C996" s="5" t="s">
        <v>428</v>
      </c>
      <c r="D996" s="6">
        <f>IFERROR(__xludf.DUMMYFUNCTION("SPLIT(MID(C996,2,LEN(C996)-2), "","")"),558.0)</f>
        <v>558</v>
      </c>
      <c r="E996" s="7"/>
      <c r="F996" s="7"/>
      <c r="G996" s="2" t="str">
        <f t="array" ref="G996">IF(ISBLANK(D996), "", INDEX(Categories!$B:$B,MATCH(D996,Categories!$A:$A,0)))</f>
        <v>Employment Agencies</v>
      </c>
      <c r="H996" s="7" t="str">
        <f t="array" ref="H996">IF(ISBLANK(E996), "", INDEX(Categories!$B:$B,MATCH(E996,Categories!$A:$A,0)))</f>
        <v/>
      </c>
      <c r="I996" s="7" t="str">
        <f t="array" ref="I996">IF(ISBLANK(F996), "", INDEX(Categories!$B:$B,MATCH(F996,Categories!$A:$A,0)))</f>
        <v/>
      </c>
      <c r="J996" s="4"/>
      <c r="K996" s="4"/>
      <c r="L996" s="4"/>
      <c r="M996" s="4"/>
      <c r="N996" s="4"/>
      <c r="O996" s="4"/>
      <c r="P996" s="4"/>
      <c r="Q996" s="4"/>
    </row>
    <row r="997">
      <c r="A997" s="5">
        <v>996.0</v>
      </c>
      <c r="B997" s="5" t="s">
        <v>1325</v>
      </c>
      <c r="C997" s="5" t="s">
        <v>309</v>
      </c>
      <c r="D997" s="6">
        <f>IFERROR(__xludf.DUMMYFUNCTION("SPLIT(MID(C997,2,LEN(C997)-2), "","")"),458.0)</f>
        <v>458</v>
      </c>
      <c r="E997" s="7"/>
      <c r="F997" s="7"/>
      <c r="G997" s="2" t="str">
        <f t="array" ref="G997">IF(ISBLANK(D997), "", INDEX(Categories!$B:$B,MATCH(D997,Categories!$A:$A,0)))</f>
        <v>Real Estate - Brokers &amp; Agents</v>
      </c>
      <c r="H997" s="7" t="str">
        <f t="array" ref="H997">IF(ISBLANK(E997), "", INDEX(Categories!$B:$B,MATCH(E997,Categories!$A:$A,0)))</f>
        <v/>
      </c>
      <c r="I997" s="7" t="str">
        <f t="array" ref="I997">IF(ISBLANK(F997), "", INDEX(Categories!$B:$B,MATCH(F997,Categories!$A:$A,0)))</f>
        <v/>
      </c>
      <c r="J997" s="4"/>
      <c r="K997" s="4"/>
      <c r="L997" s="4"/>
      <c r="M997" s="4"/>
      <c r="N997" s="4"/>
      <c r="O997" s="4"/>
      <c r="P997" s="4"/>
      <c r="Q997" s="4"/>
    </row>
    <row r="998">
      <c r="A998" s="5">
        <v>997.0</v>
      </c>
      <c r="B998" s="5" t="s">
        <v>1326</v>
      </c>
      <c r="C998" s="5" t="s">
        <v>847</v>
      </c>
      <c r="D998" s="6">
        <f>IFERROR(__xludf.DUMMYFUNCTION("SPLIT(MID(C998,2,LEN(C998)-2), "","")"),728.0)</f>
        <v>728</v>
      </c>
      <c r="E998" s="7"/>
      <c r="F998" s="7"/>
      <c r="G998" s="2" t="str">
        <f t="array" ref="G998">IF(ISBLANK(D998), "", INDEX(Categories!$B:$B,MATCH(D998,Categories!$A:$A,0)))</f>
        <v>Airline Companies</v>
      </c>
      <c r="H998" s="7" t="str">
        <f t="array" ref="H998">IF(ISBLANK(E998), "", INDEX(Categories!$B:$B,MATCH(E998,Categories!$A:$A,0)))</f>
        <v/>
      </c>
      <c r="I998" s="7" t="str">
        <f t="array" ref="I998">IF(ISBLANK(F998), "", INDEX(Categories!$B:$B,MATCH(F998,Categories!$A:$A,0)))</f>
        <v/>
      </c>
      <c r="J998" s="4"/>
      <c r="K998" s="4"/>
      <c r="L998" s="4"/>
      <c r="M998" s="4"/>
      <c r="N998" s="4"/>
      <c r="O998" s="4"/>
      <c r="P998" s="4"/>
      <c r="Q998" s="4"/>
    </row>
    <row r="999">
      <c r="A999" s="5">
        <v>998.0</v>
      </c>
      <c r="B999" s="5" t="s">
        <v>1327</v>
      </c>
      <c r="C999" s="5" t="s">
        <v>34</v>
      </c>
      <c r="D999" s="6">
        <f>IFERROR(__xludf.DUMMYFUNCTION("SPLIT(MID(C999,2,LEN(C999)-2), "","")"),228.0)</f>
        <v>228</v>
      </c>
      <c r="E999" s="7"/>
      <c r="F999" s="7"/>
      <c r="G999" s="2" t="str">
        <f t="array" ref="G999">IF(ISBLANK(D999), "", INDEX(Categories!$B:$B,MATCH(D999,Categories!$A:$A,0)))</f>
        <v>Restaurants</v>
      </c>
      <c r="H999" s="7" t="str">
        <f t="array" ref="H999">IF(ISBLANK(E999), "", INDEX(Categories!$B:$B,MATCH(E999,Categories!$A:$A,0)))</f>
        <v/>
      </c>
      <c r="I999" s="7" t="str">
        <f t="array" ref="I999">IF(ISBLANK(F999), "", INDEX(Categories!$B:$B,MATCH(F999,Categories!$A:$A,0)))</f>
        <v/>
      </c>
      <c r="J999" s="4"/>
      <c r="K999" s="4"/>
      <c r="L999" s="4"/>
      <c r="M999" s="4"/>
      <c r="N999" s="4"/>
      <c r="O999" s="4"/>
      <c r="P999" s="4"/>
      <c r="Q999" s="4"/>
    </row>
    <row r="1000">
      <c r="A1000" s="5">
        <v>999.0</v>
      </c>
      <c r="B1000" s="5" t="s">
        <v>1328</v>
      </c>
      <c r="C1000" s="5" t="s">
        <v>12</v>
      </c>
      <c r="D1000" s="6">
        <f>IFERROR(__xludf.DUMMYFUNCTION("SPLIT(MID(C1000,2,LEN(C1000)-2), "","")"),469.0)</f>
        <v>469</v>
      </c>
      <c r="E1000" s="7"/>
      <c r="F1000" s="7"/>
      <c r="G1000" s="2" t="str">
        <f t="array" ref="G1000">IF(ISBLANK(D1000), "", INDEX(Categories!$B:$B,MATCH(D1000,Categories!$A:$A,0)))</f>
        <v>Automobile - Repairs &amp; Services</v>
      </c>
      <c r="H1000" s="7" t="str">
        <f t="array" ref="H1000">IF(ISBLANK(E1000), "", INDEX(Categories!$B:$B,MATCH(E1000,Categories!$A:$A,0)))</f>
        <v/>
      </c>
      <c r="I1000" s="7" t="str">
        <f t="array" ref="I1000">IF(ISBLANK(F1000), "", INDEX(Categories!$B:$B,MATCH(F1000,Categories!$A:$A,0)))</f>
        <v/>
      </c>
      <c r="J1000" s="4"/>
      <c r="K1000" s="4"/>
      <c r="L1000" s="4"/>
      <c r="M1000" s="4"/>
      <c r="N1000" s="4"/>
      <c r="O1000" s="4"/>
      <c r="P1000" s="4"/>
      <c r="Q1000" s="4"/>
    </row>
    <row r="1001">
      <c r="A1001" s="5">
        <v>1000.0</v>
      </c>
      <c r="B1001" s="5" t="s">
        <v>1329</v>
      </c>
      <c r="C1001" s="5" t="s">
        <v>34</v>
      </c>
      <c r="D1001" s="6">
        <f>IFERROR(__xludf.DUMMYFUNCTION("SPLIT(MID(C1001,2,LEN(C1001)-2), "","")"),228.0)</f>
        <v>228</v>
      </c>
      <c r="E1001" s="7"/>
      <c r="F1001" s="7"/>
      <c r="G1001" s="2" t="str">
        <f t="array" ref="G1001">IF(ISBLANK(D1001), "", INDEX(Categories!$B:$B,MATCH(D1001,Categories!$A:$A,0)))</f>
        <v>Restaurants</v>
      </c>
      <c r="H1001" s="7" t="str">
        <f t="array" ref="H1001">IF(ISBLANK(E1001), "", INDEX(Categories!$B:$B,MATCH(E1001,Categories!$A:$A,0)))</f>
        <v/>
      </c>
      <c r="I1001" s="7" t="str">
        <f t="array" ref="I1001">IF(ISBLANK(F1001), "", INDEX(Categories!$B:$B,MATCH(F1001,Categories!$A:$A,0)))</f>
        <v/>
      </c>
      <c r="J1001" s="4"/>
      <c r="K1001" s="4"/>
      <c r="L1001" s="4"/>
      <c r="M1001" s="4"/>
      <c r="N1001" s="4"/>
      <c r="O1001" s="4"/>
      <c r="P1001" s="4"/>
      <c r="Q1001" s="4"/>
    </row>
    <row r="1002">
      <c r="A1002" s="5">
        <v>1001.0</v>
      </c>
      <c r="B1002" s="5" t="s">
        <v>1330</v>
      </c>
      <c r="C1002" s="5" t="s">
        <v>34</v>
      </c>
      <c r="D1002" s="6">
        <f>IFERROR(__xludf.DUMMYFUNCTION("SPLIT(MID(C1002,2,LEN(C1002)-2), "","")"),228.0)</f>
        <v>228</v>
      </c>
      <c r="E1002" s="7"/>
      <c r="F1002" s="7"/>
      <c r="G1002" s="2" t="str">
        <f t="array" ref="G1002">IF(ISBLANK(D1002), "", INDEX(Categories!$B:$B,MATCH(D1002,Categories!$A:$A,0)))</f>
        <v>Restaurants</v>
      </c>
      <c r="H1002" s="7" t="str">
        <f t="array" ref="H1002">IF(ISBLANK(E1002), "", INDEX(Categories!$B:$B,MATCH(E1002,Categories!$A:$A,0)))</f>
        <v/>
      </c>
      <c r="I1002" s="7" t="str">
        <f t="array" ref="I1002">IF(ISBLANK(F1002), "", INDEX(Categories!$B:$B,MATCH(F1002,Categories!$A:$A,0)))</f>
        <v/>
      </c>
      <c r="J1002" s="4"/>
      <c r="K1002" s="4"/>
      <c r="L1002" s="4"/>
      <c r="M1002" s="4"/>
      <c r="N1002" s="4"/>
      <c r="O1002" s="4"/>
      <c r="P1002" s="4"/>
      <c r="Q1002" s="4"/>
    </row>
    <row r="1003">
      <c r="A1003" s="5">
        <v>1002.0</v>
      </c>
      <c r="B1003" s="5" t="s">
        <v>1331</v>
      </c>
      <c r="C1003" s="5" t="s">
        <v>1332</v>
      </c>
      <c r="D1003" s="6">
        <f>IFERROR(__xludf.DUMMYFUNCTION("SPLIT(MID(C1003,2,LEN(C1003)-2), "","")"),2133.0)</f>
        <v>2133</v>
      </c>
      <c r="E1003" s="7"/>
      <c r="F1003" s="7"/>
      <c r="G1003" s="2" t="str">
        <f t="array" ref="G1003">IF(ISBLANK(D1003), "", INDEX(Categories!$B:$B,MATCH(D1003,Categories!$A:$A,0)))</f>
        <v>Aircraft Dealers &amp; Services</v>
      </c>
      <c r="H1003" s="7" t="str">
        <f t="array" ref="H1003">IF(ISBLANK(E1003), "", INDEX(Categories!$B:$B,MATCH(E1003,Categories!$A:$A,0)))</f>
        <v/>
      </c>
      <c r="I1003" s="7" t="str">
        <f t="array" ref="I1003">IF(ISBLANK(F1003), "", INDEX(Categories!$B:$B,MATCH(F1003,Categories!$A:$A,0)))</f>
        <v/>
      </c>
      <c r="J1003" s="4"/>
      <c r="K1003" s="4"/>
      <c r="L1003" s="4"/>
      <c r="M1003" s="4"/>
      <c r="N1003" s="4"/>
      <c r="O1003" s="4"/>
      <c r="P1003" s="4"/>
      <c r="Q1003" s="4"/>
    </row>
    <row r="1004">
      <c r="A1004" s="5">
        <v>1003.0</v>
      </c>
      <c r="B1004" s="5" t="s">
        <v>1333</v>
      </c>
      <c r="C1004" s="5" t="s">
        <v>813</v>
      </c>
      <c r="D1004" s="6">
        <f>IFERROR(__xludf.DUMMYFUNCTION("SPLIT(MID(C1004,2,LEN(C1004)-2), "","")"),2429.0)</f>
        <v>2429</v>
      </c>
      <c r="E1004" s="7"/>
      <c r="F1004" s="7"/>
      <c r="G1004" s="2" t="str">
        <f t="array" ref="G1004">IF(ISBLANK(D1004), "", INDEX(Categories!$B:$B,MATCH(D1004,Categories!$A:$A,0)))</f>
        <v>Laundry Services</v>
      </c>
      <c r="H1004" s="7" t="str">
        <f t="array" ref="H1004">IF(ISBLANK(E1004), "", INDEX(Categories!$B:$B,MATCH(E1004,Categories!$A:$A,0)))</f>
        <v/>
      </c>
      <c r="I1004" s="7" t="str">
        <f t="array" ref="I1004">IF(ISBLANK(F1004), "", INDEX(Categories!$B:$B,MATCH(F1004,Categories!$A:$A,0)))</f>
        <v/>
      </c>
      <c r="J1004" s="4"/>
      <c r="K1004" s="4"/>
      <c r="L1004" s="4"/>
      <c r="M1004" s="4"/>
      <c r="N1004" s="4"/>
      <c r="O1004" s="4"/>
      <c r="P1004" s="4"/>
      <c r="Q1004" s="4"/>
    </row>
    <row r="1005">
      <c r="A1005" s="5">
        <v>1004.0</v>
      </c>
      <c r="B1005" s="5" t="s">
        <v>1334</v>
      </c>
      <c r="C1005" s="5" t="s">
        <v>60</v>
      </c>
      <c r="D1005" s="6">
        <f>IFERROR(__xludf.DUMMYFUNCTION("SPLIT(MID(C1005,2,LEN(C1005)-2), "","")"),240.0)</f>
        <v>240</v>
      </c>
      <c r="E1005" s="7"/>
      <c r="F1005" s="7"/>
      <c r="G1005" s="2" t="str">
        <f t="array" ref="G1005">IF(ISBLANK(D1005), "", INDEX(Categories!$B:$B,MATCH(D1005,Categories!$A:$A,0)))</f>
        <v>Restaurants Fast Food</v>
      </c>
      <c r="H1005" s="7" t="str">
        <f t="array" ref="H1005">IF(ISBLANK(E1005), "", INDEX(Categories!$B:$B,MATCH(E1005,Categories!$A:$A,0)))</f>
        <v/>
      </c>
      <c r="I1005" s="7" t="str">
        <f t="array" ref="I1005">IF(ISBLANK(F1005), "", INDEX(Categories!$B:$B,MATCH(F1005,Categories!$A:$A,0)))</f>
        <v/>
      </c>
      <c r="J1005" s="4"/>
      <c r="K1005" s="4"/>
      <c r="L1005" s="4"/>
      <c r="M1005" s="4"/>
      <c r="N1005" s="4"/>
      <c r="O1005" s="4"/>
      <c r="P1005" s="4"/>
      <c r="Q1005" s="4"/>
    </row>
    <row r="1006">
      <c r="A1006" s="5">
        <v>1005.0</v>
      </c>
      <c r="B1006" s="5" t="s">
        <v>1335</v>
      </c>
      <c r="C1006" s="5" t="s">
        <v>111</v>
      </c>
      <c r="D1006" s="6">
        <f>IFERROR(__xludf.DUMMYFUNCTION("SPLIT(MID(C1006,2,LEN(C1006)-2), "","")"),444.0)</f>
        <v>444</v>
      </c>
      <c r="E1006" s="7"/>
      <c r="F1006" s="7"/>
      <c r="G1006" s="2" t="str">
        <f t="array" ref="G1006">IF(ISBLANK(D1006), "", INDEX(Categories!$B:$B,MATCH(D1006,Categories!$A:$A,0)))</f>
        <v>Hair Salons &amp; Barbers</v>
      </c>
      <c r="H1006" s="7" t="str">
        <f t="array" ref="H1006">IF(ISBLANK(E1006), "", INDEX(Categories!$B:$B,MATCH(E1006,Categories!$A:$A,0)))</f>
        <v/>
      </c>
      <c r="I1006" s="7" t="str">
        <f t="array" ref="I1006">IF(ISBLANK(F1006), "", INDEX(Categories!$B:$B,MATCH(F1006,Categories!$A:$A,0)))</f>
        <v/>
      </c>
      <c r="J1006" s="4"/>
      <c r="K1006" s="4"/>
      <c r="L1006" s="4"/>
      <c r="M1006" s="4"/>
      <c r="N1006" s="4"/>
      <c r="O1006" s="4"/>
      <c r="P1006" s="4"/>
      <c r="Q1006" s="4"/>
    </row>
    <row r="1007">
      <c r="A1007" s="5">
        <v>1006.0</v>
      </c>
      <c r="B1007" s="5" t="s">
        <v>1336</v>
      </c>
      <c r="C1007" s="5" t="s">
        <v>69</v>
      </c>
      <c r="D1007" s="6">
        <f>IFERROR(__xludf.DUMMYFUNCTION("SPLIT(MID(C1007,2,LEN(C1007)-2), "","")"),293.0)</f>
        <v>293</v>
      </c>
      <c r="E1007" s="7"/>
      <c r="F1007" s="7"/>
      <c r="G1007" s="2" t="str">
        <f t="array" ref="G1007">IF(ISBLANK(D1007), "", INDEX(Categories!$B:$B,MATCH(D1007,Categories!$A:$A,0)))</f>
        <v>Banks Commercial</v>
      </c>
      <c r="H1007" s="7" t="str">
        <f t="array" ref="H1007">IF(ISBLANK(E1007), "", INDEX(Categories!$B:$B,MATCH(E1007,Categories!$A:$A,0)))</f>
        <v/>
      </c>
      <c r="I1007" s="7" t="str">
        <f t="array" ref="I1007">IF(ISBLANK(F1007), "", INDEX(Categories!$B:$B,MATCH(F1007,Categories!$A:$A,0)))</f>
        <v/>
      </c>
      <c r="J1007" s="4"/>
      <c r="K1007" s="4"/>
      <c r="L1007" s="4"/>
      <c r="M1007" s="4"/>
      <c r="N1007" s="4"/>
      <c r="O1007" s="4"/>
      <c r="P1007" s="4"/>
      <c r="Q1007" s="4"/>
    </row>
    <row r="1008">
      <c r="A1008" s="5">
        <v>1007.0</v>
      </c>
      <c r="B1008" s="5" t="s">
        <v>1337</v>
      </c>
      <c r="C1008" s="5" t="s">
        <v>69</v>
      </c>
      <c r="D1008" s="6">
        <f>IFERROR(__xludf.DUMMYFUNCTION("SPLIT(MID(C1008,2,LEN(C1008)-2), "","")"),293.0)</f>
        <v>293</v>
      </c>
      <c r="E1008" s="7"/>
      <c r="F1008" s="7"/>
      <c r="G1008" s="2" t="str">
        <f t="array" ref="G1008">IF(ISBLANK(D1008), "", INDEX(Categories!$B:$B,MATCH(D1008,Categories!$A:$A,0)))</f>
        <v>Banks Commercial</v>
      </c>
      <c r="H1008" s="7" t="str">
        <f t="array" ref="H1008">IF(ISBLANK(E1008), "", INDEX(Categories!$B:$B,MATCH(E1008,Categories!$A:$A,0)))</f>
        <v/>
      </c>
      <c r="I1008" s="7" t="str">
        <f t="array" ref="I1008">IF(ISBLANK(F1008), "", INDEX(Categories!$B:$B,MATCH(F1008,Categories!$A:$A,0)))</f>
        <v/>
      </c>
      <c r="J1008" s="4"/>
      <c r="K1008" s="4"/>
      <c r="L1008" s="4"/>
      <c r="M1008" s="4"/>
      <c r="N1008" s="4"/>
      <c r="O1008" s="4"/>
      <c r="P1008" s="4"/>
      <c r="Q1008" s="4"/>
    </row>
    <row r="1009">
      <c r="A1009" s="5">
        <v>1008.0</v>
      </c>
      <c r="B1009" s="5" t="s">
        <v>1338</v>
      </c>
      <c r="C1009" s="5" t="s">
        <v>1339</v>
      </c>
      <c r="D1009" s="6">
        <f>IFERROR(__xludf.DUMMYFUNCTION("SPLIT(MID(C1009,2,LEN(C1009)-2), "","")"),823.0)</f>
        <v>823</v>
      </c>
      <c r="E1009" s="7"/>
      <c r="F1009" s="7"/>
      <c r="G1009" s="2" t="str">
        <f t="array" ref="G1009">IF(ISBLANK(D1009), "", INDEX(Categories!$B:$B,MATCH(D1009,Categories!$A:$A,0)))</f>
        <v>Clubs</v>
      </c>
      <c r="H1009" s="7" t="str">
        <f t="array" ref="H1009">IF(ISBLANK(E1009), "", INDEX(Categories!$B:$B,MATCH(E1009,Categories!$A:$A,0)))</f>
        <v/>
      </c>
      <c r="I1009" s="7" t="str">
        <f t="array" ref="I1009">IF(ISBLANK(F1009), "", INDEX(Categories!$B:$B,MATCH(F1009,Categories!$A:$A,0)))</f>
        <v/>
      </c>
      <c r="J1009" s="4"/>
      <c r="K1009" s="4"/>
      <c r="L1009" s="4"/>
      <c r="M1009" s="4"/>
      <c r="N1009" s="4"/>
      <c r="O1009" s="4"/>
      <c r="P1009" s="4"/>
      <c r="Q1009" s="4"/>
    </row>
    <row r="1010">
      <c r="A1010" s="5">
        <v>1009.0</v>
      </c>
      <c r="B1010" s="5" t="s">
        <v>1340</v>
      </c>
      <c r="C1010" s="5" t="s">
        <v>1341</v>
      </c>
      <c r="D1010" s="6">
        <f>IFERROR(__xludf.DUMMYFUNCTION("SPLIT(MID(C1010,2,LEN(C1010)-2), "","")"),2671.0)</f>
        <v>2671</v>
      </c>
      <c r="E1010" s="7"/>
      <c r="F1010" s="7"/>
      <c r="G1010" s="2" t="str">
        <f t="array" ref="G1010">IF(ISBLANK(D1010), "", INDEX(Categories!$B:$B,MATCH(D1010,Categories!$A:$A,0)))</f>
        <v>Window Coverings Wholesale</v>
      </c>
      <c r="H1010" s="7" t="str">
        <f t="array" ref="H1010">IF(ISBLANK(E1010), "", INDEX(Categories!$B:$B,MATCH(E1010,Categories!$A:$A,0)))</f>
        <v/>
      </c>
      <c r="I1010" s="7" t="str">
        <f t="array" ref="I1010">IF(ISBLANK(F1010), "", INDEX(Categories!$B:$B,MATCH(F1010,Categories!$A:$A,0)))</f>
        <v/>
      </c>
      <c r="J1010" s="4"/>
      <c r="K1010" s="4"/>
      <c r="L1010" s="4"/>
      <c r="M1010" s="4"/>
      <c r="N1010" s="4"/>
      <c r="O1010" s="4"/>
      <c r="P1010" s="4"/>
      <c r="Q1010" s="4"/>
    </row>
    <row r="1011">
      <c r="A1011" s="5">
        <v>1010.0</v>
      </c>
      <c r="B1011" s="5" t="s">
        <v>1342</v>
      </c>
      <c r="C1011" s="5" t="s">
        <v>18</v>
      </c>
      <c r="D1011" s="6">
        <f>IFERROR(__xludf.DUMMYFUNCTION("SPLIT(MID(C1011,2,LEN(C1011)-2), "","")"),121.0)</f>
        <v>121</v>
      </c>
      <c r="E1011" s="7"/>
      <c r="F1011" s="7"/>
      <c r="G1011" s="2" t="str">
        <f t="array" ref="G1011">IF(ISBLANK(D1011), "", INDEX(Categories!$B:$B,MATCH(D1011,Categories!$A:$A,0)))</f>
        <v>Insurance</v>
      </c>
      <c r="H1011" s="7" t="str">
        <f t="array" ref="H1011">IF(ISBLANK(E1011), "", INDEX(Categories!$B:$B,MATCH(E1011,Categories!$A:$A,0)))</f>
        <v/>
      </c>
      <c r="I1011" s="7" t="str">
        <f t="array" ref="I1011">IF(ISBLANK(F1011), "", INDEX(Categories!$B:$B,MATCH(F1011,Categories!$A:$A,0)))</f>
        <v/>
      </c>
      <c r="J1011" s="4"/>
      <c r="K1011" s="4"/>
      <c r="L1011" s="4"/>
      <c r="M1011" s="4"/>
      <c r="N1011" s="4"/>
      <c r="O1011" s="4"/>
      <c r="P1011" s="4"/>
      <c r="Q1011" s="4"/>
    </row>
    <row r="1012">
      <c r="A1012" s="5">
        <v>1011.0</v>
      </c>
      <c r="B1012" s="5" t="s">
        <v>1343</v>
      </c>
      <c r="C1012" s="5" t="s">
        <v>1344</v>
      </c>
      <c r="D1012" s="6">
        <f>IFERROR(__xludf.DUMMYFUNCTION("SPLIT(MID(C1012,2,LEN(C1012)-2), "","")"),2674.0)</f>
        <v>2674</v>
      </c>
      <c r="E1012" s="7"/>
      <c r="F1012" s="7"/>
      <c r="G1012" s="2" t="str">
        <f t="array" ref="G1012">IF(ISBLANK(D1012), "", INDEX(Categories!$B:$B,MATCH(D1012,Categories!$A:$A,0)))</f>
        <v>Home Improvement &amp; Remodeling Services</v>
      </c>
      <c r="H1012" s="7" t="str">
        <f t="array" ref="H1012">IF(ISBLANK(E1012), "", INDEX(Categories!$B:$B,MATCH(E1012,Categories!$A:$A,0)))</f>
        <v/>
      </c>
      <c r="I1012" s="7" t="str">
        <f t="array" ref="I1012">IF(ISBLANK(F1012), "", INDEX(Categories!$B:$B,MATCH(F1012,Categories!$A:$A,0)))</f>
        <v/>
      </c>
      <c r="J1012" s="4"/>
      <c r="K1012" s="4"/>
      <c r="L1012" s="4"/>
      <c r="M1012" s="4"/>
      <c r="N1012" s="4"/>
      <c r="O1012" s="4"/>
      <c r="P1012" s="4"/>
      <c r="Q1012" s="4"/>
    </row>
    <row r="1013">
      <c r="A1013" s="5">
        <v>1012.0</v>
      </c>
      <c r="B1013" s="5" t="s">
        <v>1345</v>
      </c>
      <c r="C1013" s="5" t="s">
        <v>1346</v>
      </c>
      <c r="D1013" s="6">
        <f>IFERROR(__xludf.DUMMYFUNCTION("SPLIT(MID(C1013,2,LEN(C1013)-2), "","")"),2006.0)</f>
        <v>2006</v>
      </c>
      <c r="E1013" s="7"/>
      <c r="F1013" s="7"/>
      <c r="G1013" s="2" t="str">
        <f t="array" ref="G1013">IF(ISBLANK(D1013), "", INDEX(Categories!$B:$B,MATCH(D1013,Categories!$A:$A,0)))</f>
        <v>Hobby &amp; Model Supplies</v>
      </c>
      <c r="H1013" s="7" t="str">
        <f t="array" ref="H1013">IF(ISBLANK(E1013), "", INDEX(Categories!$B:$B,MATCH(E1013,Categories!$A:$A,0)))</f>
        <v/>
      </c>
      <c r="I1013" s="7" t="str">
        <f t="array" ref="I1013">IF(ISBLANK(F1013), "", INDEX(Categories!$B:$B,MATCH(F1013,Categories!$A:$A,0)))</f>
        <v/>
      </c>
      <c r="J1013" s="4"/>
      <c r="K1013" s="4"/>
      <c r="L1013" s="4"/>
      <c r="M1013" s="4"/>
      <c r="N1013" s="4"/>
      <c r="O1013" s="4"/>
      <c r="P1013" s="4"/>
      <c r="Q1013" s="4"/>
    </row>
    <row r="1014">
      <c r="A1014" s="5">
        <v>1013.0</v>
      </c>
      <c r="B1014" s="5" t="s">
        <v>1347</v>
      </c>
      <c r="C1014" s="5" t="s">
        <v>1348</v>
      </c>
      <c r="D1014" s="6">
        <f>IFERROR(__xludf.DUMMYFUNCTION("SPLIT(MID(C1014,2,LEN(C1014)-2), "","")"),594.0)</f>
        <v>594</v>
      </c>
      <c r="E1014" s="7"/>
      <c r="F1014" s="7"/>
      <c r="G1014" s="2" t="str">
        <f t="array" ref="G1014">IF(ISBLANK(D1014), "", INDEX(Categories!$B:$B,MATCH(D1014,Categories!$A:$A,0)))</f>
        <v>Juices</v>
      </c>
      <c r="H1014" s="7" t="str">
        <f t="array" ref="H1014">IF(ISBLANK(E1014), "", INDEX(Categories!$B:$B,MATCH(E1014,Categories!$A:$A,0)))</f>
        <v/>
      </c>
      <c r="I1014" s="7" t="str">
        <f t="array" ref="I1014">IF(ISBLANK(F1014), "", INDEX(Categories!$B:$B,MATCH(F1014,Categories!$A:$A,0)))</f>
        <v/>
      </c>
      <c r="J1014" s="4"/>
      <c r="K1014" s="4"/>
      <c r="L1014" s="4"/>
      <c r="M1014" s="4"/>
      <c r="N1014" s="4"/>
      <c r="O1014" s="4"/>
      <c r="P1014" s="4"/>
      <c r="Q1014" s="4"/>
    </row>
    <row r="1015">
      <c r="A1015" s="5">
        <v>1014.0</v>
      </c>
      <c r="B1015" s="5" t="s">
        <v>1349</v>
      </c>
      <c r="C1015" s="5" t="s">
        <v>1350</v>
      </c>
      <c r="D1015" s="6">
        <f>IFERROR(__xludf.DUMMYFUNCTION("SPLIT(MID(C1015,2,LEN(C1015)-2), "","")"),305.0)</f>
        <v>305</v>
      </c>
      <c r="E1015" s="7"/>
      <c r="F1015" s="7"/>
      <c r="G1015" s="2" t="str">
        <f t="array" ref="G1015">IF(ISBLANK(D1015), "", INDEX(Categories!$B:$B,MATCH(D1015,Categories!$A:$A,0)))</f>
        <v>Safes &amp; Vaults</v>
      </c>
      <c r="H1015" s="7" t="str">
        <f t="array" ref="H1015">IF(ISBLANK(E1015), "", INDEX(Categories!$B:$B,MATCH(E1015,Categories!$A:$A,0)))</f>
        <v/>
      </c>
      <c r="I1015" s="7" t="str">
        <f t="array" ref="I1015">IF(ISBLANK(F1015), "", INDEX(Categories!$B:$B,MATCH(F1015,Categories!$A:$A,0)))</f>
        <v/>
      </c>
      <c r="J1015" s="4"/>
      <c r="K1015" s="4"/>
      <c r="L1015" s="4"/>
      <c r="M1015" s="4"/>
      <c r="N1015" s="4"/>
      <c r="O1015" s="4"/>
      <c r="P1015" s="4"/>
      <c r="Q1015" s="4"/>
    </row>
    <row r="1016">
      <c r="A1016" s="5">
        <v>1015.0</v>
      </c>
      <c r="B1016" s="5" t="s">
        <v>1351</v>
      </c>
      <c r="C1016" s="5" t="s">
        <v>38</v>
      </c>
      <c r="D1016" s="6">
        <f>IFERROR(__xludf.DUMMYFUNCTION("SPLIT(MID(C1016,2,LEN(C1016)-2), "","")"),933.0)</f>
        <v>933</v>
      </c>
      <c r="E1016" s="7"/>
      <c r="F1016" s="7"/>
      <c r="G1016" s="2" t="str">
        <f t="array" ref="G1016">IF(ISBLANK(D1016), "", INDEX(Categories!$B:$B,MATCH(D1016,Categories!$A:$A,0)))</f>
        <v>Loans &amp; Mortgages</v>
      </c>
      <c r="H1016" s="7" t="str">
        <f t="array" ref="H1016">IF(ISBLANK(E1016), "", INDEX(Categories!$B:$B,MATCH(E1016,Categories!$A:$A,0)))</f>
        <v/>
      </c>
      <c r="I1016" s="7" t="str">
        <f t="array" ref="I1016">IF(ISBLANK(F1016), "", INDEX(Categories!$B:$B,MATCH(F1016,Categories!$A:$A,0)))</f>
        <v/>
      </c>
      <c r="J1016" s="4"/>
      <c r="K1016" s="4"/>
      <c r="L1016" s="4"/>
      <c r="M1016" s="4"/>
      <c r="N1016" s="4"/>
      <c r="O1016" s="4"/>
      <c r="P1016" s="4"/>
      <c r="Q1016" s="4"/>
    </row>
    <row r="1017">
      <c r="A1017" s="5">
        <v>1016.0</v>
      </c>
      <c r="B1017" s="5" t="s">
        <v>1352</v>
      </c>
      <c r="C1017" s="5" t="s">
        <v>1353</v>
      </c>
      <c r="D1017" s="6">
        <f>IFERROR(__xludf.DUMMYFUNCTION("SPLIT(MID(C1017,2,LEN(C1017)-2), "","")"),1740.0)</f>
        <v>1740</v>
      </c>
      <c r="E1017" s="7"/>
      <c r="F1017" s="7"/>
      <c r="G1017" s="2" t="str">
        <f t="array" ref="G1017">IF(ISBLANK(D1017), "", INDEX(Categories!$B:$B,MATCH(D1017,Categories!$A:$A,0)))</f>
        <v>Religious Goods</v>
      </c>
      <c r="H1017" s="7" t="str">
        <f t="array" ref="H1017">IF(ISBLANK(E1017), "", INDEX(Categories!$B:$B,MATCH(E1017,Categories!$A:$A,0)))</f>
        <v/>
      </c>
      <c r="I1017" s="7" t="str">
        <f t="array" ref="I1017">IF(ISBLANK(F1017), "", INDEX(Categories!$B:$B,MATCH(F1017,Categories!$A:$A,0)))</f>
        <v/>
      </c>
      <c r="J1017" s="4"/>
      <c r="K1017" s="4"/>
      <c r="L1017" s="4"/>
      <c r="M1017" s="4"/>
      <c r="N1017" s="4"/>
      <c r="O1017" s="4"/>
      <c r="P1017" s="4"/>
      <c r="Q1017" s="4"/>
    </row>
    <row r="1018">
      <c r="A1018" s="5">
        <v>1017.0</v>
      </c>
      <c r="B1018" s="5" t="s">
        <v>1354</v>
      </c>
      <c r="C1018" s="5" t="s">
        <v>176</v>
      </c>
      <c r="D1018" s="6">
        <f>IFERROR(__xludf.DUMMYFUNCTION("SPLIT(MID(C1018,2,LEN(C1018)-2), "","")"),2557.0)</f>
        <v>2557</v>
      </c>
      <c r="E1018" s="7"/>
      <c r="F1018" s="7"/>
      <c r="G1018" s="2" t="str">
        <f t="array" ref="G1018">IF(ISBLANK(D1018), "", INDEX(Categories!$B:$B,MATCH(D1018,Categories!$A:$A,0)))</f>
        <v>Maids &amp; Butlers Services</v>
      </c>
      <c r="H1018" s="7" t="str">
        <f t="array" ref="H1018">IF(ISBLANK(E1018), "", INDEX(Categories!$B:$B,MATCH(E1018,Categories!$A:$A,0)))</f>
        <v/>
      </c>
      <c r="I1018" s="7" t="str">
        <f t="array" ref="I1018">IF(ISBLANK(F1018), "", INDEX(Categories!$B:$B,MATCH(F1018,Categories!$A:$A,0)))</f>
        <v/>
      </c>
      <c r="J1018" s="4"/>
      <c r="K1018" s="4"/>
      <c r="L1018" s="4"/>
      <c r="M1018" s="4"/>
      <c r="N1018" s="4"/>
      <c r="O1018" s="4"/>
      <c r="P1018" s="4"/>
      <c r="Q1018" s="4"/>
    </row>
    <row r="1019">
      <c r="A1019" s="5">
        <v>1018.0</v>
      </c>
      <c r="B1019" s="5" t="s">
        <v>1355</v>
      </c>
      <c r="C1019" s="5" t="s">
        <v>346</v>
      </c>
      <c r="D1019" s="6">
        <f>IFERROR(__xludf.DUMMYFUNCTION("SPLIT(MID(C1019,2,LEN(C1019)-2), "","")"),610.0)</f>
        <v>610</v>
      </c>
      <c r="E1019" s="7"/>
      <c r="F1019" s="7"/>
      <c r="G1019" s="2" t="str">
        <f t="array" ref="G1019">IF(ISBLANK(D1019), "", INDEX(Categories!$B:$B,MATCH(D1019,Categories!$A:$A,0)))</f>
        <v>Supermarkets &amp; Super Stores</v>
      </c>
      <c r="H1019" s="7" t="str">
        <f t="array" ref="H1019">IF(ISBLANK(E1019), "", INDEX(Categories!$B:$B,MATCH(E1019,Categories!$A:$A,0)))</f>
        <v/>
      </c>
      <c r="I1019" s="7" t="str">
        <f t="array" ref="I1019">IF(ISBLANK(F1019), "", INDEX(Categories!$B:$B,MATCH(F1019,Categories!$A:$A,0)))</f>
        <v/>
      </c>
      <c r="J1019" s="4"/>
      <c r="K1019" s="4"/>
      <c r="L1019" s="4"/>
      <c r="M1019" s="4"/>
      <c r="N1019" s="4"/>
      <c r="O1019" s="4"/>
      <c r="P1019" s="4"/>
      <c r="Q1019" s="4"/>
    </row>
    <row r="1020">
      <c r="A1020" s="5">
        <v>1019.0</v>
      </c>
      <c r="B1020" s="5" t="s">
        <v>1356</v>
      </c>
      <c r="C1020" s="5" t="s">
        <v>125</v>
      </c>
      <c r="D1020" s="6">
        <f>IFERROR(__xludf.DUMMYFUNCTION("SPLIT(MID(C1020,2,LEN(C1020)-2), "","")"),423.0)</f>
        <v>423</v>
      </c>
      <c r="E1020" s="7"/>
      <c r="F1020" s="7"/>
      <c r="G1020" s="2" t="str">
        <f t="array" ref="G1020">IF(ISBLANK(D1020), "", INDEX(Categories!$B:$B,MATCH(D1020,Categories!$A:$A,0)))</f>
        <v>Religious Organizations</v>
      </c>
      <c r="H1020" s="7" t="str">
        <f t="array" ref="H1020">IF(ISBLANK(E1020), "", INDEX(Categories!$B:$B,MATCH(E1020,Categories!$A:$A,0)))</f>
        <v/>
      </c>
      <c r="I1020" s="7" t="str">
        <f t="array" ref="I1020">IF(ISBLANK(F1020), "", INDEX(Categories!$B:$B,MATCH(F1020,Categories!$A:$A,0)))</f>
        <v/>
      </c>
      <c r="J1020" s="4"/>
      <c r="K1020" s="4"/>
      <c r="L1020" s="4"/>
      <c r="M1020" s="4"/>
      <c r="N1020" s="4"/>
      <c r="O1020" s="4"/>
      <c r="P1020" s="4"/>
      <c r="Q1020" s="4"/>
    </row>
    <row r="1021">
      <c r="A1021" s="5">
        <v>1020.0</v>
      </c>
      <c r="B1021" s="5" t="s">
        <v>1357</v>
      </c>
      <c r="C1021" s="5" t="s">
        <v>847</v>
      </c>
      <c r="D1021" s="6">
        <f>IFERROR(__xludf.DUMMYFUNCTION("SPLIT(MID(C1021,2,LEN(C1021)-2), "","")"),728.0)</f>
        <v>728</v>
      </c>
      <c r="E1021" s="7"/>
      <c r="F1021" s="7"/>
      <c r="G1021" s="2" t="str">
        <f t="array" ref="G1021">IF(ISBLANK(D1021), "", INDEX(Categories!$B:$B,MATCH(D1021,Categories!$A:$A,0)))</f>
        <v>Airline Companies</v>
      </c>
      <c r="H1021" s="7" t="str">
        <f t="array" ref="H1021">IF(ISBLANK(E1021), "", INDEX(Categories!$B:$B,MATCH(E1021,Categories!$A:$A,0)))</f>
        <v/>
      </c>
      <c r="I1021" s="7" t="str">
        <f t="array" ref="I1021">IF(ISBLANK(F1021), "", INDEX(Categories!$B:$B,MATCH(F1021,Categories!$A:$A,0)))</f>
        <v/>
      </c>
      <c r="J1021" s="4"/>
      <c r="K1021" s="4"/>
      <c r="L1021" s="4"/>
      <c r="M1021" s="4"/>
      <c r="N1021" s="4"/>
      <c r="O1021" s="4"/>
      <c r="P1021" s="4"/>
      <c r="Q1021" s="4"/>
    </row>
    <row r="1022">
      <c r="A1022" s="5">
        <v>1021.0</v>
      </c>
      <c r="B1022" s="5" t="s">
        <v>1358</v>
      </c>
      <c r="C1022" s="5" t="s">
        <v>62</v>
      </c>
      <c r="D1022" s="6">
        <f>IFERROR(__xludf.DUMMYFUNCTION("SPLIT(MID(C1022,2,LEN(C1022)-2), "","")"),242.0)</f>
        <v>242</v>
      </c>
      <c r="E1022" s="7"/>
      <c r="F1022" s="7"/>
      <c r="G1022" s="2" t="str">
        <f t="array" ref="G1022">IF(ISBLANK(D1022), "", INDEX(Categories!$B:$B,MATCH(D1022,Categories!$A:$A,0)))</f>
        <v>Restaurants Pizza</v>
      </c>
      <c r="H1022" s="7" t="str">
        <f t="array" ref="H1022">IF(ISBLANK(E1022), "", INDEX(Categories!$B:$B,MATCH(E1022,Categories!$A:$A,0)))</f>
        <v/>
      </c>
      <c r="I1022" s="7" t="str">
        <f t="array" ref="I1022">IF(ISBLANK(F1022), "", INDEX(Categories!$B:$B,MATCH(F1022,Categories!$A:$A,0)))</f>
        <v/>
      </c>
      <c r="J1022" s="4"/>
      <c r="K1022" s="4"/>
      <c r="L1022" s="4"/>
      <c r="M1022" s="4"/>
      <c r="N1022" s="4"/>
      <c r="O1022" s="4"/>
      <c r="P1022" s="4"/>
      <c r="Q1022" s="4"/>
    </row>
    <row r="1023">
      <c r="A1023" s="5">
        <v>1022.0</v>
      </c>
      <c r="B1023" s="5" t="s">
        <v>1359</v>
      </c>
      <c r="C1023" s="5" t="s">
        <v>253</v>
      </c>
      <c r="D1023" s="6">
        <f>IFERROR(__xludf.DUMMYFUNCTION("SPLIT(MID(C1023,2,LEN(C1023)-2), "","")"),686.0)</f>
        <v>686</v>
      </c>
      <c r="E1023" s="7"/>
      <c r="F1023" s="7"/>
      <c r="G1023" s="2" t="str">
        <f t="array" ref="G1023">IF(ISBLANK(D1023), "", INDEX(Categories!$B:$B,MATCH(D1023,Categories!$A:$A,0)))</f>
        <v>Gift Shops</v>
      </c>
      <c r="H1023" s="7" t="str">
        <f t="array" ref="H1023">IF(ISBLANK(E1023), "", INDEX(Categories!$B:$B,MATCH(E1023,Categories!$A:$A,0)))</f>
        <v/>
      </c>
      <c r="I1023" s="7" t="str">
        <f t="array" ref="I1023">IF(ISBLANK(F1023), "", INDEX(Categories!$B:$B,MATCH(F1023,Categories!$A:$A,0)))</f>
        <v/>
      </c>
      <c r="J1023" s="4"/>
      <c r="K1023" s="4"/>
      <c r="L1023" s="4"/>
      <c r="M1023" s="4"/>
      <c r="N1023" s="4"/>
      <c r="O1023" s="4"/>
      <c r="P1023" s="4"/>
      <c r="Q1023" s="4"/>
    </row>
    <row r="1024">
      <c r="A1024" s="5">
        <v>1023.0</v>
      </c>
      <c r="B1024" s="5" t="s">
        <v>1360</v>
      </c>
      <c r="C1024" s="5" t="s">
        <v>543</v>
      </c>
      <c r="D1024" s="6">
        <f>IFERROR(__xludf.DUMMYFUNCTION("SPLIT(MID(C1024,2,LEN(C1024)-2), "","")"),727.0)</f>
        <v>727</v>
      </c>
      <c r="E1024" s="7"/>
      <c r="F1024" s="7"/>
      <c r="G1024" s="2" t="str">
        <f t="array" ref="G1024">IF(ISBLANK(D1024), "", INDEX(Categories!$B:$B,MATCH(D1024,Categories!$A:$A,0)))</f>
        <v>Airlines &amp; Airports</v>
      </c>
      <c r="H1024" s="7" t="str">
        <f t="array" ref="H1024">IF(ISBLANK(E1024), "", INDEX(Categories!$B:$B,MATCH(E1024,Categories!$A:$A,0)))</f>
        <v/>
      </c>
      <c r="I1024" s="7" t="str">
        <f t="array" ref="I1024">IF(ISBLANK(F1024), "", INDEX(Categories!$B:$B,MATCH(F1024,Categories!$A:$A,0)))</f>
        <v/>
      </c>
      <c r="J1024" s="4"/>
      <c r="K1024" s="4"/>
      <c r="L1024" s="4"/>
      <c r="M1024" s="4"/>
      <c r="N1024" s="4"/>
      <c r="O1024" s="4"/>
      <c r="P1024" s="4"/>
      <c r="Q1024" s="4"/>
    </row>
    <row r="1025">
      <c r="A1025" s="5">
        <v>1024.0</v>
      </c>
      <c r="B1025" s="5" t="s">
        <v>1361</v>
      </c>
      <c r="C1025" s="5" t="s">
        <v>96</v>
      </c>
      <c r="D1025" s="6">
        <f>IFERROR(__xludf.DUMMYFUNCTION("SPLIT(MID(C1025,2,LEN(C1025)-2), "","")"),572.0)</f>
        <v>572</v>
      </c>
      <c r="E1025" s="7"/>
      <c r="F1025" s="7"/>
      <c r="G1025" s="2" t="str">
        <f t="array" ref="G1025">IF(ISBLANK(D1025), "", INDEX(Categories!$B:$B,MATCH(D1025,Categories!$A:$A,0)))</f>
        <v>Groceries</v>
      </c>
      <c r="H1025" s="7" t="str">
        <f t="array" ref="H1025">IF(ISBLANK(E1025), "", INDEX(Categories!$B:$B,MATCH(E1025,Categories!$A:$A,0)))</f>
        <v/>
      </c>
      <c r="I1025" s="7" t="str">
        <f t="array" ref="I1025">IF(ISBLANK(F1025), "", INDEX(Categories!$B:$B,MATCH(F1025,Categories!$A:$A,0)))</f>
        <v/>
      </c>
      <c r="J1025" s="4"/>
      <c r="K1025" s="4"/>
      <c r="L1025" s="4"/>
      <c r="M1025" s="4"/>
      <c r="N1025" s="4"/>
      <c r="O1025" s="4"/>
      <c r="P1025" s="4"/>
      <c r="Q1025" s="4"/>
    </row>
    <row r="1026">
      <c r="A1026" s="5">
        <v>1025.0</v>
      </c>
      <c r="B1026" s="5" t="s">
        <v>1362</v>
      </c>
      <c r="C1026" s="5" t="s">
        <v>139</v>
      </c>
      <c r="D1026" s="6">
        <f>IFERROR(__xludf.DUMMYFUNCTION("SPLIT(MID(C1026,2,LEN(C1026)-2), "","")"),1617.0)</f>
        <v>1617</v>
      </c>
      <c r="E1026" s="7"/>
      <c r="F1026" s="7"/>
      <c r="G1026" s="2" t="str">
        <f t="array" ref="G1026">IF(ISBLANK(D1026), "", INDEX(Categories!$B:$B,MATCH(D1026,Categories!$A:$A,0)))</f>
        <v>Department Stores</v>
      </c>
      <c r="H1026" s="7" t="str">
        <f t="array" ref="H1026">IF(ISBLANK(E1026), "", INDEX(Categories!$B:$B,MATCH(E1026,Categories!$A:$A,0)))</f>
        <v/>
      </c>
      <c r="I1026" s="7" t="str">
        <f t="array" ref="I1026">IF(ISBLANK(F1026), "", INDEX(Categories!$B:$B,MATCH(F1026,Categories!$A:$A,0)))</f>
        <v/>
      </c>
      <c r="J1026" s="4"/>
      <c r="K1026" s="4"/>
      <c r="L1026" s="4"/>
      <c r="M1026" s="4"/>
      <c r="N1026" s="4"/>
      <c r="O1026" s="4"/>
      <c r="P1026" s="4"/>
      <c r="Q1026" s="4"/>
    </row>
    <row r="1027">
      <c r="A1027" s="5">
        <v>1026.0</v>
      </c>
      <c r="B1027" s="5" t="s">
        <v>1363</v>
      </c>
      <c r="C1027" s="5" t="s">
        <v>1364</v>
      </c>
      <c r="D1027" s="6">
        <f>IFERROR(__xludf.DUMMYFUNCTION("SPLIT(MID(C1027,2,LEN(C1027)-2), "","")"),2543.0)</f>
        <v>2543</v>
      </c>
      <c r="E1027" s="7"/>
      <c r="F1027" s="7"/>
      <c r="G1027" s="2" t="str">
        <f t="array" ref="G1027">IF(ISBLANK(D1027), "", INDEX(Categories!$B:$B,MATCH(D1027,Categories!$A:$A,0)))</f>
        <v>Cleaning House &amp; Office</v>
      </c>
      <c r="H1027" s="7" t="str">
        <f t="array" ref="H1027">IF(ISBLANK(E1027), "", INDEX(Categories!$B:$B,MATCH(E1027,Categories!$A:$A,0)))</f>
        <v/>
      </c>
      <c r="I1027" s="7" t="str">
        <f t="array" ref="I1027">IF(ISBLANK(F1027), "", INDEX(Categories!$B:$B,MATCH(F1027,Categories!$A:$A,0)))</f>
        <v/>
      </c>
      <c r="J1027" s="4"/>
      <c r="K1027" s="4"/>
      <c r="L1027" s="4"/>
      <c r="M1027" s="4"/>
      <c r="N1027" s="4"/>
      <c r="O1027" s="4"/>
      <c r="P1027" s="4"/>
      <c r="Q1027" s="4"/>
    </row>
    <row r="1028">
      <c r="A1028" s="5">
        <v>1027.0</v>
      </c>
      <c r="B1028" s="5" t="s">
        <v>1365</v>
      </c>
      <c r="C1028" s="5" t="s">
        <v>69</v>
      </c>
      <c r="D1028" s="6">
        <f>IFERROR(__xludf.DUMMYFUNCTION("SPLIT(MID(C1028,2,LEN(C1028)-2), "","")"),293.0)</f>
        <v>293</v>
      </c>
      <c r="E1028" s="7"/>
      <c r="F1028" s="7"/>
      <c r="G1028" s="2" t="str">
        <f t="array" ref="G1028">IF(ISBLANK(D1028), "", INDEX(Categories!$B:$B,MATCH(D1028,Categories!$A:$A,0)))</f>
        <v>Banks Commercial</v>
      </c>
      <c r="H1028" s="7" t="str">
        <f t="array" ref="H1028">IF(ISBLANK(E1028), "", INDEX(Categories!$B:$B,MATCH(E1028,Categories!$A:$A,0)))</f>
        <v/>
      </c>
      <c r="I1028" s="7" t="str">
        <f t="array" ref="I1028">IF(ISBLANK(F1028), "", INDEX(Categories!$B:$B,MATCH(F1028,Categories!$A:$A,0)))</f>
        <v/>
      </c>
      <c r="J1028" s="4"/>
      <c r="K1028" s="4"/>
      <c r="L1028" s="4"/>
      <c r="M1028" s="4"/>
      <c r="N1028" s="4"/>
      <c r="O1028" s="4"/>
      <c r="P1028" s="4"/>
      <c r="Q1028" s="4"/>
    </row>
    <row r="1029">
      <c r="A1029" s="5">
        <v>1028.0</v>
      </c>
      <c r="B1029" s="5" t="s">
        <v>1366</v>
      </c>
      <c r="C1029" s="5" t="s">
        <v>826</v>
      </c>
      <c r="D1029" s="6">
        <f>IFERROR(__xludf.DUMMYFUNCTION("SPLIT(MID(C1029,2,LEN(C1029)-2), "","")"),2316.0)</f>
        <v>2316</v>
      </c>
      <c r="E1029" s="7"/>
      <c r="F1029" s="7"/>
      <c r="G1029" s="2" t="str">
        <f t="array" ref="G1029">IF(ISBLANK(D1029), "", INDEX(Categories!$B:$B,MATCH(D1029,Categories!$A:$A,0)))</f>
        <v>Lawn &amp; Grounds Maintenance</v>
      </c>
      <c r="H1029" s="7" t="str">
        <f t="array" ref="H1029">IF(ISBLANK(E1029), "", INDEX(Categories!$B:$B,MATCH(E1029,Categories!$A:$A,0)))</f>
        <v/>
      </c>
      <c r="I1029" s="7" t="str">
        <f t="array" ref="I1029">IF(ISBLANK(F1029), "", INDEX(Categories!$B:$B,MATCH(F1029,Categories!$A:$A,0)))</f>
        <v/>
      </c>
      <c r="J1029" s="4"/>
      <c r="K1029" s="4"/>
      <c r="L1029" s="4"/>
      <c r="M1029" s="4"/>
      <c r="N1029" s="4"/>
      <c r="O1029" s="4"/>
      <c r="P1029" s="4"/>
      <c r="Q1029" s="4"/>
    </row>
    <row r="1030">
      <c r="A1030" s="5">
        <v>1029.0</v>
      </c>
      <c r="B1030" s="5" t="s">
        <v>1367</v>
      </c>
      <c r="C1030" s="5" t="s">
        <v>346</v>
      </c>
      <c r="D1030" s="6">
        <f>IFERROR(__xludf.DUMMYFUNCTION("SPLIT(MID(C1030,2,LEN(C1030)-2), "","")"),610.0)</f>
        <v>610</v>
      </c>
      <c r="E1030" s="7"/>
      <c r="F1030" s="7"/>
      <c r="G1030" s="2" t="str">
        <f t="array" ref="G1030">IF(ISBLANK(D1030), "", INDEX(Categories!$B:$B,MATCH(D1030,Categories!$A:$A,0)))</f>
        <v>Supermarkets &amp; Super Stores</v>
      </c>
      <c r="H1030" s="7" t="str">
        <f t="array" ref="H1030">IF(ISBLANK(E1030), "", INDEX(Categories!$B:$B,MATCH(E1030,Categories!$A:$A,0)))</f>
        <v/>
      </c>
      <c r="I1030" s="7" t="str">
        <f t="array" ref="I1030">IF(ISBLANK(F1030), "", INDEX(Categories!$B:$B,MATCH(F1030,Categories!$A:$A,0)))</f>
        <v/>
      </c>
      <c r="J1030" s="4"/>
      <c r="K1030" s="4"/>
      <c r="L1030" s="4"/>
      <c r="M1030" s="4"/>
      <c r="N1030" s="4"/>
      <c r="O1030" s="4"/>
      <c r="P1030" s="4"/>
      <c r="Q1030" s="4"/>
    </row>
    <row r="1031">
      <c r="A1031" s="5">
        <v>1030.0</v>
      </c>
      <c r="B1031" s="5" t="s">
        <v>1368</v>
      </c>
      <c r="C1031" s="5" t="s">
        <v>1369</v>
      </c>
      <c r="D1031" s="6">
        <f>IFERROR(__xludf.DUMMYFUNCTION("SPLIT(MID(C1031,2,LEN(C1031)-2), "","")"),1747.0)</f>
        <v>1747</v>
      </c>
      <c r="E1031" s="7"/>
      <c r="F1031" s="7"/>
      <c r="G1031" s="2" t="str">
        <f t="array" ref="G1031">IF(ISBLANK(D1031), "", INDEX(Categories!$B:$B,MATCH(D1031,Categories!$A:$A,0)))</f>
        <v>Recreational Vehicles Renting &amp; Leasing</v>
      </c>
      <c r="H1031" s="7" t="str">
        <f t="array" ref="H1031">IF(ISBLANK(E1031), "", INDEX(Categories!$B:$B,MATCH(E1031,Categories!$A:$A,0)))</f>
        <v/>
      </c>
      <c r="I1031" s="7" t="str">
        <f t="array" ref="I1031">IF(ISBLANK(F1031), "", INDEX(Categories!$B:$B,MATCH(F1031,Categories!$A:$A,0)))</f>
        <v/>
      </c>
      <c r="J1031" s="4"/>
      <c r="K1031" s="4"/>
      <c r="L1031" s="4"/>
      <c r="M1031" s="4"/>
      <c r="N1031" s="4"/>
      <c r="O1031" s="4"/>
      <c r="P1031" s="4"/>
      <c r="Q1031" s="4"/>
    </row>
    <row r="1032">
      <c r="A1032" s="5">
        <v>1031.0</v>
      </c>
      <c r="B1032" s="5" t="s">
        <v>1370</v>
      </c>
      <c r="C1032" s="5" t="s">
        <v>1371</v>
      </c>
      <c r="D1032" s="6">
        <f>IFERROR(__xludf.DUMMYFUNCTION("SPLIT(MID(C1032,2,LEN(C1032)-2), "","")"),2531.0)</f>
        <v>2531</v>
      </c>
      <c r="E1032" s="7"/>
      <c r="F1032" s="7"/>
      <c r="G1032" s="2" t="str">
        <f t="array" ref="G1032">IF(ISBLANK(D1032), "", INDEX(Categories!$B:$B,MATCH(D1032,Categories!$A:$A,0)))</f>
        <v>Building Cleaning Exterior</v>
      </c>
      <c r="H1032" s="7" t="str">
        <f t="array" ref="H1032">IF(ISBLANK(E1032), "", INDEX(Categories!$B:$B,MATCH(E1032,Categories!$A:$A,0)))</f>
        <v/>
      </c>
      <c r="I1032" s="7" t="str">
        <f t="array" ref="I1032">IF(ISBLANK(F1032), "", INDEX(Categories!$B:$B,MATCH(F1032,Categories!$A:$A,0)))</f>
        <v/>
      </c>
      <c r="J1032" s="4"/>
      <c r="K1032" s="4"/>
      <c r="L1032" s="4"/>
      <c r="M1032" s="4"/>
      <c r="N1032" s="4"/>
      <c r="O1032" s="4"/>
      <c r="P1032" s="4"/>
      <c r="Q1032" s="4"/>
    </row>
    <row r="1033">
      <c r="A1033" s="5">
        <v>1032.0</v>
      </c>
      <c r="B1033" s="5" t="s">
        <v>1372</v>
      </c>
      <c r="C1033" s="5" t="s">
        <v>813</v>
      </c>
      <c r="D1033" s="6">
        <f>IFERROR(__xludf.DUMMYFUNCTION("SPLIT(MID(C1033,2,LEN(C1033)-2), "","")"),2429.0)</f>
        <v>2429</v>
      </c>
      <c r="E1033" s="7"/>
      <c r="F1033" s="7"/>
      <c r="G1033" s="2" t="str">
        <f t="array" ref="G1033">IF(ISBLANK(D1033), "", INDEX(Categories!$B:$B,MATCH(D1033,Categories!$A:$A,0)))</f>
        <v>Laundry Services</v>
      </c>
      <c r="H1033" s="7" t="str">
        <f t="array" ref="H1033">IF(ISBLANK(E1033), "", INDEX(Categories!$B:$B,MATCH(E1033,Categories!$A:$A,0)))</f>
        <v/>
      </c>
      <c r="I1033" s="7" t="str">
        <f t="array" ref="I1033">IF(ISBLANK(F1033), "", INDEX(Categories!$B:$B,MATCH(F1033,Categories!$A:$A,0)))</f>
        <v/>
      </c>
      <c r="J1033" s="4"/>
      <c r="K1033" s="4"/>
      <c r="L1033" s="4"/>
      <c r="M1033" s="4"/>
      <c r="N1033" s="4"/>
      <c r="O1033" s="4"/>
      <c r="P1033" s="4"/>
      <c r="Q1033" s="4"/>
    </row>
    <row r="1034">
      <c r="A1034" s="5">
        <v>1033.0</v>
      </c>
      <c r="B1034" s="5" t="s">
        <v>1373</v>
      </c>
      <c r="C1034" s="5" t="s">
        <v>475</v>
      </c>
      <c r="D1034" s="6">
        <f>IFERROR(__xludf.DUMMYFUNCTION("SPLIT(MID(C1034,2,LEN(C1034)-2), "","")"),851.0)</f>
        <v>851</v>
      </c>
      <c r="E1034" s="7"/>
      <c r="F1034" s="7"/>
      <c r="G1034" s="2" t="str">
        <f t="array" ref="G1034">IF(ISBLANK(D1034), "", INDEX(Categories!$B:$B,MATCH(D1034,Categories!$A:$A,0)))</f>
        <v>Garbage &amp; Rubbish Collection</v>
      </c>
      <c r="H1034" s="7" t="str">
        <f t="array" ref="H1034">IF(ISBLANK(E1034), "", INDEX(Categories!$B:$B,MATCH(E1034,Categories!$A:$A,0)))</f>
        <v/>
      </c>
      <c r="I1034" s="7" t="str">
        <f t="array" ref="I1034">IF(ISBLANK(F1034), "", INDEX(Categories!$B:$B,MATCH(F1034,Categories!$A:$A,0)))</f>
        <v/>
      </c>
      <c r="J1034" s="4"/>
      <c r="K1034" s="4"/>
      <c r="L1034" s="4"/>
      <c r="M1034" s="4"/>
      <c r="N1034" s="4"/>
      <c r="O1034" s="4"/>
      <c r="P1034" s="4"/>
      <c r="Q1034" s="4"/>
    </row>
    <row r="1035">
      <c r="A1035" s="5">
        <v>1034.0</v>
      </c>
      <c r="B1035" s="5" t="s">
        <v>1374</v>
      </c>
      <c r="C1035" s="5" t="s">
        <v>428</v>
      </c>
      <c r="D1035" s="6">
        <f>IFERROR(__xludf.DUMMYFUNCTION("SPLIT(MID(C1035,2,LEN(C1035)-2), "","")"),558.0)</f>
        <v>558</v>
      </c>
      <c r="E1035" s="7"/>
      <c r="F1035" s="7"/>
      <c r="G1035" s="2" t="str">
        <f t="array" ref="G1035">IF(ISBLANK(D1035), "", INDEX(Categories!$B:$B,MATCH(D1035,Categories!$A:$A,0)))</f>
        <v>Employment Agencies</v>
      </c>
      <c r="H1035" s="7" t="str">
        <f t="array" ref="H1035">IF(ISBLANK(E1035), "", INDEX(Categories!$B:$B,MATCH(E1035,Categories!$A:$A,0)))</f>
        <v/>
      </c>
      <c r="I1035" s="7" t="str">
        <f t="array" ref="I1035">IF(ISBLANK(F1035), "", INDEX(Categories!$B:$B,MATCH(F1035,Categories!$A:$A,0)))</f>
        <v/>
      </c>
      <c r="J1035" s="4"/>
      <c r="K1035" s="4"/>
      <c r="L1035" s="4"/>
      <c r="M1035" s="4"/>
      <c r="N1035" s="4"/>
      <c r="O1035" s="4"/>
      <c r="P1035" s="4"/>
      <c r="Q1035" s="4"/>
    </row>
    <row r="1036">
      <c r="A1036" s="5">
        <v>1035.0</v>
      </c>
      <c r="B1036" s="5" t="s">
        <v>1375</v>
      </c>
      <c r="C1036" s="5" t="s">
        <v>1376</v>
      </c>
      <c r="D1036" s="6">
        <f>IFERROR(__xludf.DUMMYFUNCTION("SPLIT(MID(C1036,2,LEN(C1036)-2), "","")"),2879.0)</f>
        <v>2879</v>
      </c>
      <c r="E1036" s="7"/>
      <c r="F1036" s="7"/>
      <c r="G1036" s="2" t="str">
        <f t="array" ref="G1036">IF(ISBLANK(D1036), "", INDEX(Categories!$B:$B,MATCH(D1036,Categories!$A:$A,0)))</f>
        <v>Building Inspection Service</v>
      </c>
      <c r="H1036" s="7" t="str">
        <f t="array" ref="H1036">IF(ISBLANK(E1036), "", INDEX(Categories!$B:$B,MATCH(E1036,Categories!$A:$A,0)))</f>
        <v/>
      </c>
      <c r="I1036" s="7" t="str">
        <f t="array" ref="I1036">IF(ISBLANK(F1036), "", INDEX(Categories!$B:$B,MATCH(F1036,Categories!$A:$A,0)))</f>
        <v/>
      </c>
      <c r="J1036" s="4"/>
      <c r="K1036" s="4"/>
      <c r="L1036" s="4"/>
      <c r="M1036" s="4"/>
      <c r="N1036" s="4"/>
      <c r="O1036" s="4"/>
      <c r="P1036" s="4"/>
      <c r="Q1036" s="4"/>
    </row>
    <row r="1037">
      <c r="A1037" s="5">
        <v>1036.0</v>
      </c>
      <c r="B1037" s="5" t="s">
        <v>1377</v>
      </c>
      <c r="C1037" s="5" t="s">
        <v>322</v>
      </c>
      <c r="D1037" s="6">
        <f>IFERROR(__xludf.DUMMYFUNCTION("SPLIT(MID(C1037,2,LEN(C1037)-2), "","")"),561.0)</f>
        <v>561</v>
      </c>
      <c r="E1037" s="7"/>
      <c r="F1037" s="7"/>
      <c r="G1037" s="2" t="str">
        <f t="array" ref="G1037">IF(ISBLANK(D1037), "", INDEX(Categories!$B:$B,MATCH(D1037,Categories!$A:$A,0)))</f>
        <v>Employment Placement Services</v>
      </c>
      <c r="H1037" s="7" t="str">
        <f t="array" ref="H1037">IF(ISBLANK(E1037), "", INDEX(Categories!$B:$B,MATCH(E1037,Categories!$A:$A,0)))</f>
        <v/>
      </c>
      <c r="I1037" s="7" t="str">
        <f t="array" ref="I1037">IF(ISBLANK(F1037), "", INDEX(Categories!$B:$B,MATCH(F1037,Categories!$A:$A,0)))</f>
        <v/>
      </c>
      <c r="J1037" s="4"/>
      <c r="K1037" s="4"/>
      <c r="L1037" s="4"/>
      <c r="M1037" s="4"/>
      <c r="N1037" s="4"/>
      <c r="O1037" s="4"/>
      <c r="P1037" s="4"/>
      <c r="Q1037" s="4"/>
    </row>
    <row r="1038">
      <c r="A1038" s="5">
        <v>1037.0</v>
      </c>
      <c r="B1038" s="5" t="s">
        <v>1378</v>
      </c>
      <c r="C1038" s="5" t="s">
        <v>428</v>
      </c>
      <c r="D1038" s="6">
        <f>IFERROR(__xludf.DUMMYFUNCTION("SPLIT(MID(C1038,2,LEN(C1038)-2), "","")"),558.0)</f>
        <v>558</v>
      </c>
      <c r="E1038" s="7"/>
      <c r="F1038" s="7"/>
      <c r="G1038" s="2" t="str">
        <f t="array" ref="G1038">IF(ISBLANK(D1038), "", INDEX(Categories!$B:$B,MATCH(D1038,Categories!$A:$A,0)))</f>
        <v>Employment Agencies</v>
      </c>
      <c r="H1038" s="7" t="str">
        <f t="array" ref="H1038">IF(ISBLANK(E1038), "", INDEX(Categories!$B:$B,MATCH(E1038,Categories!$A:$A,0)))</f>
        <v/>
      </c>
      <c r="I1038" s="7" t="str">
        <f t="array" ref="I1038">IF(ISBLANK(F1038), "", INDEX(Categories!$B:$B,MATCH(F1038,Categories!$A:$A,0)))</f>
        <v/>
      </c>
      <c r="J1038" s="4"/>
      <c r="K1038" s="4"/>
      <c r="L1038" s="4"/>
      <c r="M1038" s="4"/>
      <c r="N1038" s="4"/>
      <c r="O1038" s="4"/>
      <c r="P1038" s="4"/>
      <c r="Q1038" s="4"/>
    </row>
    <row r="1039">
      <c r="A1039" s="5">
        <v>1038.0</v>
      </c>
      <c r="B1039" s="5" t="s">
        <v>1379</v>
      </c>
      <c r="C1039" s="5" t="s">
        <v>847</v>
      </c>
      <c r="D1039" s="6">
        <f>IFERROR(__xludf.DUMMYFUNCTION("SPLIT(MID(C1039,2,LEN(C1039)-2), "","")"),728.0)</f>
        <v>728</v>
      </c>
      <c r="E1039" s="7"/>
      <c r="F1039" s="7"/>
      <c r="G1039" s="2" t="str">
        <f t="array" ref="G1039">IF(ISBLANK(D1039), "", INDEX(Categories!$B:$B,MATCH(D1039,Categories!$A:$A,0)))</f>
        <v>Airline Companies</v>
      </c>
      <c r="H1039" s="7" t="str">
        <f t="array" ref="H1039">IF(ISBLANK(E1039), "", INDEX(Categories!$B:$B,MATCH(E1039,Categories!$A:$A,0)))</f>
        <v/>
      </c>
      <c r="I1039" s="7" t="str">
        <f t="array" ref="I1039">IF(ISBLANK(F1039), "", INDEX(Categories!$B:$B,MATCH(F1039,Categories!$A:$A,0)))</f>
        <v/>
      </c>
      <c r="J1039" s="4"/>
      <c r="K1039" s="4"/>
      <c r="L1039" s="4"/>
      <c r="M1039" s="4"/>
      <c r="N1039" s="4"/>
      <c r="O1039" s="4"/>
      <c r="P1039" s="4"/>
      <c r="Q1039" s="4"/>
    </row>
    <row r="1040">
      <c r="A1040" s="5">
        <v>1039.0</v>
      </c>
      <c r="B1040" s="5" t="s">
        <v>1380</v>
      </c>
      <c r="C1040" s="5" t="s">
        <v>847</v>
      </c>
      <c r="D1040" s="6">
        <f>IFERROR(__xludf.DUMMYFUNCTION("SPLIT(MID(C1040,2,LEN(C1040)-2), "","")"),728.0)</f>
        <v>728</v>
      </c>
      <c r="E1040" s="7"/>
      <c r="F1040" s="7"/>
      <c r="G1040" s="2" t="str">
        <f t="array" ref="G1040">IF(ISBLANK(D1040), "", INDEX(Categories!$B:$B,MATCH(D1040,Categories!$A:$A,0)))</f>
        <v>Airline Companies</v>
      </c>
      <c r="H1040" s="7" t="str">
        <f t="array" ref="H1040">IF(ISBLANK(E1040), "", INDEX(Categories!$B:$B,MATCH(E1040,Categories!$A:$A,0)))</f>
        <v/>
      </c>
      <c r="I1040" s="7" t="str">
        <f t="array" ref="I1040">IF(ISBLANK(F1040), "", INDEX(Categories!$B:$B,MATCH(F1040,Categories!$A:$A,0)))</f>
        <v/>
      </c>
      <c r="J1040" s="4"/>
      <c r="K1040" s="4"/>
      <c r="L1040" s="4"/>
      <c r="M1040" s="4"/>
      <c r="N1040" s="4"/>
      <c r="O1040" s="4"/>
      <c r="P1040" s="4"/>
      <c r="Q1040" s="4"/>
    </row>
    <row r="1041">
      <c r="A1041" s="5">
        <v>1040.0</v>
      </c>
      <c r="B1041" s="5" t="s">
        <v>1381</v>
      </c>
      <c r="C1041" s="5" t="s">
        <v>1382</v>
      </c>
      <c r="D1041" s="6">
        <f>IFERROR(__xludf.DUMMYFUNCTION("SPLIT(MID(C1041,2,LEN(C1041)-2), "","")"),2758.0)</f>
        <v>2758</v>
      </c>
      <c r="E1041" s="7"/>
      <c r="F1041" s="7"/>
      <c r="G1041" s="2" t="str">
        <f t="array" ref="G1041">IF(ISBLANK(D1041), "", INDEX(Categories!$B:$B,MATCH(D1041,Categories!$A:$A,0)))</f>
        <v>Business Consultants</v>
      </c>
      <c r="H1041" s="7" t="str">
        <f t="array" ref="H1041">IF(ISBLANK(E1041), "", INDEX(Categories!$B:$B,MATCH(E1041,Categories!$A:$A,0)))</f>
        <v/>
      </c>
      <c r="I1041" s="7" t="str">
        <f t="array" ref="I1041">IF(ISBLANK(F1041), "", INDEX(Categories!$B:$B,MATCH(F1041,Categories!$A:$A,0)))</f>
        <v/>
      </c>
      <c r="J1041" s="4"/>
      <c r="K1041" s="4"/>
      <c r="L1041" s="4"/>
      <c r="M1041" s="4"/>
      <c r="N1041" s="4"/>
      <c r="O1041" s="4"/>
      <c r="P1041" s="4"/>
      <c r="Q1041" s="4"/>
    </row>
    <row r="1042">
      <c r="A1042" s="5">
        <v>1041.0</v>
      </c>
      <c r="B1042" s="5" t="s">
        <v>1383</v>
      </c>
      <c r="C1042" s="5" t="s">
        <v>1027</v>
      </c>
      <c r="D1042" s="6">
        <f>IFERROR(__xludf.DUMMYFUNCTION("SPLIT(MID(C1042,2,LEN(C1042)-2), "","")"),1286.0)</f>
        <v>1286</v>
      </c>
      <c r="E1042" s="7"/>
      <c r="F1042" s="7"/>
      <c r="G1042" s="2" t="str">
        <f t="array" ref="G1042">IF(ISBLANK(D1042), "", INDEX(Categories!$B:$B,MATCH(D1042,Categories!$A:$A,0)))</f>
        <v>Automobile - Body Repairs &amp; Painting</v>
      </c>
      <c r="H1042" s="7" t="str">
        <f t="array" ref="H1042">IF(ISBLANK(E1042), "", INDEX(Categories!$B:$B,MATCH(E1042,Categories!$A:$A,0)))</f>
        <v/>
      </c>
      <c r="I1042" s="7" t="str">
        <f t="array" ref="I1042">IF(ISBLANK(F1042), "", INDEX(Categories!$B:$B,MATCH(F1042,Categories!$A:$A,0)))</f>
        <v/>
      </c>
      <c r="J1042" s="4"/>
      <c r="K1042" s="4"/>
      <c r="L1042" s="4"/>
      <c r="M1042" s="4"/>
      <c r="N1042" s="4"/>
      <c r="O1042" s="4"/>
      <c r="P1042" s="4"/>
      <c r="Q1042" s="4"/>
    </row>
    <row r="1043">
      <c r="A1043" s="5">
        <v>1042.0</v>
      </c>
      <c r="B1043" s="5" t="s">
        <v>1384</v>
      </c>
      <c r="C1043" s="5" t="s">
        <v>1385</v>
      </c>
      <c r="D1043" s="6">
        <f>IFERROR(__xludf.DUMMYFUNCTION("SPLIT(MID(C1043,2,LEN(C1043)-2), "","")"),2680.0)</f>
        <v>2680</v>
      </c>
      <c r="E1043" s="7"/>
      <c r="F1043" s="7"/>
      <c r="G1043" s="2" t="str">
        <f t="array" ref="G1043">IF(ISBLANK(D1043), "", INDEX(Categories!$B:$B,MATCH(D1043,Categories!$A:$A,0)))</f>
        <v>Asphalt &amp; Asphalt Products</v>
      </c>
      <c r="H1043" s="7" t="str">
        <f t="array" ref="H1043">IF(ISBLANK(E1043), "", INDEX(Categories!$B:$B,MATCH(E1043,Categories!$A:$A,0)))</f>
        <v/>
      </c>
      <c r="I1043" s="7" t="str">
        <f t="array" ref="I1043">IF(ISBLANK(F1043), "", INDEX(Categories!$B:$B,MATCH(F1043,Categories!$A:$A,0)))</f>
        <v/>
      </c>
      <c r="J1043" s="4"/>
      <c r="K1043" s="4"/>
      <c r="L1043" s="4"/>
      <c r="M1043" s="4"/>
      <c r="N1043" s="4"/>
      <c r="O1043" s="4"/>
      <c r="P1043" s="4"/>
      <c r="Q1043" s="4"/>
    </row>
    <row r="1044">
      <c r="A1044" s="5">
        <v>1043.0</v>
      </c>
      <c r="B1044" s="5" t="s">
        <v>1386</v>
      </c>
      <c r="C1044" s="5" t="s">
        <v>87</v>
      </c>
      <c r="D1044" s="6">
        <f>IFERROR(__xludf.DUMMYFUNCTION("SPLIT(MID(C1044,2,LEN(C1044)-2), "","")"),168.0)</f>
        <v>168</v>
      </c>
      <c r="E1044" s="7"/>
      <c r="F1044" s="7"/>
      <c r="G1044" s="2" t="str">
        <f t="array" ref="G1044">IF(ISBLANK(D1044), "", INDEX(Categories!$B:$B,MATCH(D1044,Categories!$A:$A,0)))</f>
        <v>Hotels &amp; Motels</v>
      </c>
      <c r="H1044" s="7" t="str">
        <f t="array" ref="H1044">IF(ISBLANK(E1044), "", INDEX(Categories!$B:$B,MATCH(E1044,Categories!$A:$A,0)))</f>
        <v/>
      </c>
      <c r="I1044" s="7" t="str">
        <f t="array" ref="I1044">IF(ISBLANK(F1044), "", INDEX(Categories!$B:$B,MATCH(F1044,Categories!$A:$A,0)))</f>
        <v/>
      </c>
      <c r="J1044" s="4"/>
      <c r="K1044" s="4"/>
      <c r="L1044" s="4"/>
      <c r="M1044" s="4"/>
      <c r="N1044" s="4"/>
      <c r="O1044" s="4"/>
      <c r="P1044" s="4"/>
      <c r="Q1044" s="4"/>
    </row>
    <row r="1045">
      <c r="A1045" s="5">
        <v>1044.0</v>
      </c>
      <c r="B1045" s="5" t="s">
        <v>1387</v>
      </c>
      <c r="C1045" s="5" t="s">
        <v>1364</v>
      </c>
      <c r="D1045" s="6">
        <f>IFERROR(__xludf.DUMMYFUNCTION("SPLIT(MID(C1045,2,LEN(C1045)-2), "","")"),2543.0)</f>
        <v>2543</v>
      </c>
      <c r="E1045" s="7"/>
      <c r="F1045" s="7"/>
      <c r="G1045" s="2" t="str">
        <f t="array" ref="G1045">IF(ISBLANK(D1045), "", INDEX(Categories!$B:$B,MATCH(D1045,Categories!$A:$A,0)))</f>
        <v>Cleaning House &amp; Office</v>
      </c>
      <c r="H1045" s="7" t="str">
        <f t="array" ref="H1045">IF(ISBLANK(E1045), "", INDEX(Categories!$B:$B,MATCH(E1045,Categories!$A:$A,0)))</f>
        <v/>
      </c>
      <c r="I1045" s="7" t="str">
        <f t="array" ref="I1045">IF(ISBLANK(F1045), "", INDEX(Categories!$B:$B,MATCH(F1045,Categories!$A:$A,0)))</f>
        <v/>
      </c>
      <c r="J1045" s="4"/>
      <c r="K1045" s="4"/>
      <c r="L1045" s="4"/>
      <c r="M1045" s="4"/>
      <c r="N1045" s="4"/>
      <c r="O1045" s="4"/>
      <c r="P1045" s="4"/>
      <c r="Q1045" s="4"/>
    </row>
    <row r="1046">
      <c r="A1046" s="5">
        <v>1045.0</v>
      </c>
      <c r="B1046" s="5" t="s">
        <v>1388</v>
      </c>
      <c r="C1046" s="5" t="s">
        <v>303</v>
      </c>
      <c r="D1046" s="6">
        <f>IFERROR(__xludf.DUMMYFUNCTION("SPLIT(MID(C1046,2,LEN(C1046)-2), "","")"),1241.0)</f>
        <v>1241</v>
      </c>
      <c r="E1046" s="7"/>
      <c r="F1046" s="7"/>
      <c r="G1046" s="2" t="str">
        <f t="array" ref="G1046">IF(ISBLANK(D1046), "", INDEX(Categories!$B:$B,MATCH(D1046,Categories!$A:$A,0)))</f>
        <v>Clothing &amp; Accessories</v>
      </c>
      <c r="H1046" s="7" t="str">
        <f t="array" ref="H1046">IF(ISBLANK(E1046), "", INDEX(Categories!$B:$B,MATCH(E1046,Categories!$A:$A,0)))</f>
        <v/>
      </c>
      <c r="I1046" s="7" t="str">
        <f t="array" ref="I1046">IF(ISBLANK(F1046), "", INDEX(Categories!$B:$B,MATCH(F1046,Categories!$A:$A,0)))</f>
        <v/>
      </c>
      <c r="J1046" s="4"/>
      <c r="K1046" s="4"/>
      <c r="L1046" s="4"/>
      <c r="M1046" s="4"/>
      <c r="N1046" s="4"/>
      <c r="O1046" s="4"/>
      <c r="P1046" s="4"/>
      <c r="Q1046" s="4"/>
    </row>
    <row r="1047">
      <c r="A1047" s="5">
        <v>1046.0</v>
      </c>
      <c r="B1047" s="5" t="s">
        <v>1389</v>
      </c>
      <c r="C1047" s="5" t="s">
        <v>1390</v>
      </c>
      <c r="D1047" s="6">
        <f>IFERROR(__xludf.DUMMYFUNCTION("SPLIT(MID(C1047,2,LEN(C1047)-2), "","")"),1064.0)</f>
        <v>1064</v>
      </c>
      <c r="E1047" s="7"/>
      <c r="F1047" s="7"/>
      <c r="G1047" s="2" t="str">
        <f t="array" ref="G1047">IF(ISBLANK(D1047), "", INDEX(Categories!$B:$B,MATCH(D1047,Categories!$A:$A,0)))</f>
        <v>Handyman Services</v>
      </c>
      <c r="H1047" s="7" t="str">
        <f t="array" ref="H1047">IF(ISBLANK(E1047), "", INDEX(Categories!$B:$B,MATCH(E1047,Categories!$A:$A,0)))</f>
        <v/>
      </c>
      <c r="I1047" s="7" t="str">
        <f t="array" ref="I1047">IF(ISBLANK(F1047), "", INDEX(Categories!$B:$B,MATCH(F1047,Categories!$A:$A,0)))</f>
        <v/>
      </c>
      <c r="J1047" s="4"/>
      <c r="K1047" s="4"/>
      <c r="L1047" s="4"/>
      <c r="M1047" s="4"/>
      <c r="N1047" s="4"/>
      <c r="O1047" s="4"/>
      <c r="P1047" s="4"/>
      <c r="Q1047" s="4"/>
    </row>
    <row r="1048">
      <c r="A1048" s="5">
        <v>1047.0</v>
      </c>
      <c r="B1048" s="5" t="s">
        <v>1391</v>
      </c>
      <c r="C1048" s="5" t="s">
        <v>1392</v>
      </c>
      <c r="D1048" s="6">
        <f>IFERROR(__xludf.DUMMYFUNCTION("SPLIT(MID(C1048,2,LEN(C1048)-2), "","")"),2298.0)</f>
        <v>2298</v>
      </c>
      <c r="E1048" s="7"/>
      <c r="F1048" s="7"/>
      <c r="G1048" s="2" t="str">
        <f t="array" ref="G1048">IF(ISBLANK(D1048), "", INDEX(Categories!$B:$B,MATCH(D1048,Categories!$A:$A,0)))</f>
        <v>Contractors - Deck &amp; Patio</v>
      </c>
      <c r="H1048" s="7" t="str">
        <f t="array" ref="H1048">IF(ISBLANK(E1048), "", INDEX(Categories!$B:$B,MATCH(E1048,Categories!$A:$A,0)))</f>
        <v/>
      </c>
      <c r="I1048" s="7" t="str">
        <f t="array" ref="I1048">IF(ISBLANK(F1048), "", INDEX(Categories!$B:$B,MATCH(F1048,Categories!$A:$A,0)))</f>
        <v/>
      </c>
      <c r="J1048" s="4"/>
      <c r="K1048" s="4"/>
      <c r="L1048" s="4"/>
      <c r="M1048" s="4"/>
      <c r="N1048" s="4"/>
      <c r="O1048" s="4"/>
      <c r="P1048" s="4"/>
      <c r="Q1048" s="4"/>
    </row>
    <row r="1049">
      <c r="A1049" s="5">
        <v>1048.0</v>
      </c>
      <c r="B1049" s="5" t="s">
        <v>1393</v>
      </c>
      <c r="C1049" s="5" t="s">
        <v>69</v>
      </c>
      <c r="D1049" s="6">
        <f>IFERROR(__xludf.DUMMYFUNCTION("SPLIT(MID(C1049,2,LEN(C1049)-2), "","")"),293.0)</f>
        <v>293</v>
      </c>
      <c r="E1049" s="7"/>
      <c r="F1049" s="7"/>
      <c r="G1049" s="2" t="str">
        <f t="array" ref="G1049">IF(ISBLANK(D1049), "", INDEX(Categories!$B:$B,MATCH(D1049,Categories!$A:$A,0)))</f>
        <v>Banks Commercial</v>
      </c>
      <c r="H1049" s="7" t="str">
        <f t="array" ref="H1049">IF(ISBLANK(E1049), "", INDEX(Categories!$B:$B,MATCH(E1049,Categories!$A:$A,0)))</f>
        <v/>
      </c>
      <c r="I1049" s="7" t="str">
        <f t="array" ref="I1049">IF(ISBLANK(F1049), "", INDEX(Categories!$B:$B,MATCH(F1049,Categories!$A:$A,0)))</f>
        <v/>
      </c>
      <c r="J1049" s="4"/>
      <c r="K1049" s="4"/>
      <c r="L1049" s="4"/>
      <c r="M1049" s="4"/>
      <c r="N1049" s="4"/>
      <c r="O1049" s="4"/>
      <c r="P1049" s="4"/>
      <c r="Q1049" s="4"/>
    </row>
    <row r="1050">
      <c r="A1050" s="5">
        <v>1049.0</v>
      </c>
      <c r="B1050" s="5" t="s">
        <v>1394</v>
      </c>
      <c r="C1050" s="5" t="s">
        <v>34</v>
      </c>
      <c r="D1050" s="6">
        <f>IFERROR(__xludf.DUMMYFUNCTION("SPLIT(MID(C1050,2,LEN(C1050)-2), "","")"),228.0)</f>
        <v>228</v>
      </c>
      <c r="E1050" s="7"/>
      <c r="F1050" s="7"/>
      <c r="G1050" s="2" t="str">
        <f t="array" ref="G1050">IF(ISBLANK(D1050), "", INDEX(Categories!$B:$B,MATCH(D1050,Categories!$A:$A,0)))</f>
        <v>Restaurants</v>
      </c>
      <c r="H1050" s="7" t="str">
        <f t="array" ref="H1050">IF(ISBLANK(E1050), "", INDEX(Categories!$B:$B,MATCH(E1050,Categories!$A:$A,0)))</f>
        <v/>
      </c>
      <c r="I1050" s="7" t="str">
        <f t="array" ref="I1050">IF(ISBLANK(F1050), "", INDEX(Categories!$B:$B,MATCH(F1050,Categories!$A:$A,0)))</f>
        <v/>
      </c>
      <c r="J1050" s="4"/>
      <c r="K1050" s="4"/>
      <c r="L1050" s="4"/>
      <c r="M1050" s="4"/>
      <c r="N1050" s="4"/>
      <c r="O1050" s="4"/>
      <c r="P1050" s="4"/>
      <c r="Q1050" s="4"/>
    </row>
    <row r="1051">
      <c r="A1051" s="5">
        <v>1050.0</v>
      </c>
      <c r="B1051" s="5" t="s">
        <v>1395</v>
      </c>
      <c r="C1051" s="5" t="s">
        <v>18</v>
      </c>
      <c r="D1051" s="6">
        <f>IFERROR(__xludf.DUMMYFUNCTION("SPLIT(MID(C1051,2,LEN(C1051)-2), "","")"),121.0)</f>
        <v>121</v>
      </c>
      <c r="E1051" s="7"/>
      <c r="F1051" s="7"/>
      <c r="G1051" s="2" t="str">
        <f t="array" ref="G1051">IF(ISBLANK(D1051), "", INDEX(Categories!$B:$B,MATCH(D1051,Categories!$A:$A,0)))</f>
        <v>Insurance</v>
      </c>
      <c r="H1051" s="7" t="str">
        <f t="array" ref="H1051">IF(ISBLANK(E1051), "", INDEX(Categories!$B:$B,MATCH(E1051,Categories!$A:$A,0)))</f>
        <v/>
      </c>
      <c r="I1051" s="7" t="str">
        <f t="array" ref="I1051">IF(ISBLANK(F1051), "", INDEX(Categories!$B:$B,MATCH(F1051,Categories!$A:$A,0)))</f>
        <v/>
      </c>
      <c r="J1051" s="4"/>
      <c r="K1051" s="4"/>
      <c r="L1051" s="4"/>
      <c r="M1051" s="4"/>
      <c r="N1051" s="4"/>
      <c r="O1051" s="4"/>
      <c r="P1051" s="4"/>
      <c r="Q1051" s="4"/>
    </row>
    <row r="1052">
      <c r="A1052" s="5">
        <v>1051.0</v>
      </c>
      <c r="B1052" s="5" t="s">
        <v>1396</v>
      </c>
      <c r="C1052" s="5" t="s">
        <v>34</v>
      </c>
      <c r="D1052" s="6">
        <f>IFERROR(__xludf.DUMMYFUNCTION("SPLIT(MID(C1052,2,LEN(C1052)-2), "","")"),228.0)</f>
        <v>228</v>
      </c>
      <c r="E1052" s="7"/>
      <c r="F1052" s="7"/>
      <c r="G1052" s="2" t="str">
        <f t="array" ref="G1052">IF(ISBLANK(D1052), "", INDEX(Categories!$B:$B,MATCH(D1052,Categories!$A:$A,0)))</f>
        <v>Restaurants</v>
      </c>
      <c r="H1052" s="7" t="str">
        <f t="array" ref="H1052">IF(ISBLANK(E1052), "", INDEX(Categories!$B:$B,MATCH(E1052,Categories!$A:$A,0)))</f>
        <v/>
      </c>
      <c r="I1052" s="7" t="str">
        <f t="array" ref="I1052">IF(ISBLANK(F1052), "", INDEX(Categories!$B:$B,MATCH(F1052,Categories!$A:$A,0)))</f>
        <v/>
      </c>
      <c r="J1052" s="4"/>
      <c r="K1052" s="4"/>
      <c r="L1052" s="4"/>
      <c r="M1052" s="4"/>
      <c r="N1052" s="4"/>
      <c r="O1052" s="4"/>
      <c r="P1052" s="4"/>
      <c r="Q1052" s="4"/>
    </row>
    <row r="1053">
      <c r="A1053" s="5">
        <v>1052.0</v>
      </c>
      <c r="B1053" s="5" t="s">
        <v>1397</v>
      </c>
      <c r="C1053" s="5" t="s">
        <v>102</v>
      </c>
      <c r="D1053" s="6">
        <f>IFERROR(__xludf.DUMMYFUNCTION("SPLIT(MID(C1053,2,LEN(C1053)-2), "","")"),298.0)</f>
        <v>298</v>
      </c>
      <c r="E1053" s="7"/>
      <c r="F1053" s="7"/>
      <c r="G1053" s="2" t="str">
        <f t="array" ref="G1053">IF(ISBLANK(D1053), "", INDEX(Categories!$B:$B,MATCH(D1053,Categories!$A:$A,0)))</f>
        <v>Financial Services</v>
      </c>
      <c r="H1053" s="7" t="str">
        <f t="array" ref="H1053">IF(ISBLANK(E1053), "", INDEX(Categories!$B:$B,MATCH(E1053,Categories!$A:$A,0)))</f>
        <v/>
      </c>
      <c r="I1053" s="7" t="str">
        <f t="array" ref="I1053">IF(ISBLANK(F1053), "", INDEX(Categories!$B:$B,MATCH(F1053,Categories!$A:$A,0)))</f>
        <v/>
      </c>
      <c r="J1053" s="4"/>
      <c r="K1053" s="4"/>
      <c r="L1053" s="4"/>
      <c r="M1053" s="4"/>
      <c r="N1053" s="4"/>
      <c r="O1053" s="4"/>
      <c r="P1053" s="4"/>
      <c r="Q1053" s="4"/>
    </row>
    <row r="1054">
      <c r="A1054" s="5">
        <v>1053.0</v>
      </c>
      <c r="B1054" s="5" t="s">
        <v>1398</v>
      </c>
      <c r="C1054" s="5" t="s">
        <v>1399</v>
      </c>
      <c r="D1054" s="6">
        <f>IFERROR(__xludf.DUMMYFUNCTION("SPLIT(MID(C1054,2,LEN(C1054)-2), "","")"),1888.0)</f>
        <v>1888</v>
      </c>
      <c r="E1054" s="7"/>
      <c r="F1054" s="7"/>
      <c r="G1054" s="2" t="str">
        <f t="array" ref="G1054">IF(ISBLANK(D1054), "", INDEX(Categories!$B:$B,MATCH(D1054,Categories!$A:$A,0)))</f>
        <v>Pet Training</v>
      </c>
      <c r="H1054" s="7" t="str">
        <f t="array" ref="H1054">IF(ISBLANK(E1054), "", INDEX(Categories!$B:$B,MATCH(E1054,Categories!$A:$A,0)))</f>
        <v/>
      </c>
      <c r="I1054" s="7" t="str">
        <f t="array" ref="I1054">IF(ISBLANK(F1054), "", INDEX(Categories!$B:$B,MATCH(F1054,Categories!$A:$A,0)))</f>
        <v/>
      </c>
      <c r="J1054" s="4"/>
      <c r="K1054" s="4"/>
      <c r="L1054" s="4"/>
      <c r="M1054" s="4"/>
      <c r="N1054" s="4"/>
      <c r="O1054" s="4"/>
      <c r="P1054" s="4"/>
      <c r="Q1054" s="4"/>
    </row>
    <row r="1055">
      <c r="A1055" s="5">
        <v>1054.0</v>
      </c>
      <c r="B1055" s="5" t="s">
        <v>1400</v>
      </c>
      <c r="C1055" s="5" t="s">
        <v>1006</v>
      </c>
      <c r="D1055" s="6">
        <f>IFERROR(__xludf.DUMMYFUNCTION("SPLIT(MID(C1055,2,LEN(C1055)-2), "","")"),1808.0)</f>
        <v>1808</v>
      </c>
      <c r="E1055" s="7"/>
      <c r="F1055" s="7"/>
      <c r="G1055" s="2" t="str">
        <f t="array" ref="G1055">IF(ISBLANK(D1055), "", INDEX(Categories!$B:$B,MATCH(D1055,Categories!$A:$A,0)))</f>
        <v>Coffee Houses</v>
      </c>
      <c r="H1055" s="7" t="str">
        <f t="array" ref="H1055">IF(ISBLANK(E1055), "", INDEX(Categories!$B:$B,MATCH(E1055,Categories!$A:$A,0)))</f>
        <v/>
      </c>
      <c r="I1055" s="7" t="str">
        <f t="array" ref="I1055">IF(ISBLANK(F1055), "", INDEX(Categories!$B:$B,MATCH(F1055,Categories!$A:$A,0)))</f>
        <v/>
      </c>
      <c r="J1055" s="4"/>
      <c r="K1055" s="4"/>
      <c r="L1055" s="4"/>
      <c r="M1055" s="4"/>
      <c r="N1055" s="4"/>
      <c r="O1055" s="4"/>
      <c r="P1055" s="4"/>
      <c r="Q1055" s="4"/>
    </row>
    <row r="1056">
      <c r="A1056" s="5">
        <v>1055.0</v>
      </c>
      <c r="B1056" s="5" t="s">
        <v>1401</v>
      </c>
      <c r="C1056" s="5" t="s">
        <v>217</v>
      </c>
      <c r="D1056" s="6">
        <f>IFERROR(__xludf.DUMMYFUNCTION("SPLIT(MID(C1056,2,LEN(C1056)-2), "","")"),147.0)</f>
        <v>147</v>
      </c>
      <c r="E1056" s="7"/>
      <c r="F1056" s="7"/>
      <c r="G1056" s="2" t="str">
        <f t="array" ref="G1056">IF(ISBLANK(D1056), "", INDEX(Categories!$B:$B,MATCH(D1056,Categories!$A:$A,0)))</f>
        <v>Contractors - Plumbers &amp; Plumbing</v>
      </c>
      <c r="H1056" s="7" t="str">
        <f t="array" ref="H1056">IF(ISBLANK(E1056), "", INDEX(Categories!$B:$B,MATCH(E1056,Categories!$A:$A,0)))</f>
        <v/>
      </c>
      <c r="I1056" s="7" t="str">
        <f t="array" ref="I1056">IF(ISBLANK(F1056), "", INDEX(Categories!$B:$B,MATCH(F1056,Categories!$A:$A,0)))</f>
        <v/>
      </c>
      <c r="J1056" s="4"/>
      <c r="K1056" s="4"/>
      <c r="L1056" s="4"/>
      <c r="M1056" s="4"/>
      <c r="N1056" s="4"/>
      <c r="O1056" s="4"/>
      <c r="P1056" s="4"/>
      <c r="Q1056" s="4"/>
    </row>
    <row r="1057">
      <c r="A1057" s="5">
        <v>1056.0</v>
      </c>
      <c r="B1057" s="5" t="s">
        <v>1402</v>
      </c>
      <c r="C1057" s="5" t="s">
        <v>295</v>
      </c>
      <c r="D1057" s="6">
        <f>IFERROR(__xludf.DUMMYFUNCTION("SPLIT(MID(C1057,2,LEN(C1057)-2), "","")"),2896.0)</f>
        <v>2896</v>
      </c>
      <c r="E1057" s="7"/>
      <c r="F1057" s="7"/>
      <c r="G1057" s="2" t="str">
        <f t="array" ref="G1057">IF(ISBLANK(D1057), "", INDEX(Categories!$B:$B,MATCH(D1057,Categories!$A:$A,0)))</f>
        <v>Variety Stores</v>
      </c>
      <c r="H1057" s="7" t="str">
        <f t="array" ref="H1057">IF(ISBLANK(E1057), "", INDEX(Categories!$B:$B,MATCH(E1057,Categories!$A:$A,0)))</f>
        <v/>
      </c>
      <c r="I1057" s="7" t="str">
        <f t="array" ref="I1057">IF(ISBLANK(F1057), "", INDEX(Categories!$B:$B,MATCH(F1057,Categories!$A:$A,0)))</f>
        <v/>
      </c>
      <c r="J1057" s="4"/>
      <c r="K1057" s="4"/>
      <c r="L1057" s="4"/>
      <c r="M1057" s="4"/>
      <c r="N1057" s="4"/>
      <c r="O1057" s="4"/>
      <c r="P1057" s="4"/>
      <c r="Q1057" s="4"/>
    </row>
    <row r="1058">
      <c r="A1058" s="5">
        <v>1057.0</v>
      </c>
      <c r="B1058" s="5" t="s">
        <v>1403</v>
      </c>
      <c r="C1058" s="5" t="s">
        <v>62</v>
      </c>
      <c r="D1058" s="6">
        <f>IFERROR(__xludf.DUMMYFUNCTION("SPLIT(MID(C1058,2,LEN(C1058)-2), "","")"),242.0)</f>
        <v>242</v>
      </c>
      <c r="E1058" s="7"/>
      <c r="F1058" s="7"/>
      <c r="G1058" s="2" t="str">
        <f t="array" ref="G1058">IF(ISBLANK(D1058), "", INDEX(Categories!$B:$B,MATCH(D1058,Categories!$A:$A,0)))</f>
        <v>Restaurants Pizza</v>
      </c>
      <c r="H1058" s="7" t="str">
        <f t="array" ref="H1058">IF(ISBLANK(E1058), "", INDEX(Categories!$B:$B,MATCH(E1058,Categories!$A:$A,0)))</f>
        <v/>
      </c>
      <c r="I1058" s="7" t="str">
        <f t="array" ref="I1058">IF(ISBLANK(F1058), "", INDEX(Categories!$B:$B,MATCH(F1058,Categories!$A:$A,0)))</f>
        <v/>
      </c>
      <c r="J1058" s="4"/>
      <c r="K1058" s="4"/>
      <c r="L1058" s="4"/>
      <c r="M1058" s="4"/>
      <c r="N1058" s="4"/>
      <c r="O1058" s="4"/>
      <c r="P1058" s="4"/>
      <c r="Q1058" s="4"/>
    </row>
    <row r="1059">
      <c r="A1059" s="5">
        <v>1058.0</v>
      </c>
      <c r="B1059" s="5" t="s">
        <v>1404</v>
      </c>
      <c r="C1059" s="5" t="s">
        <v>128</v>
      </c>
      <c r="D1059" s="6">
        <f>IFERROR(__xludf.DUMMYFUNCTION("SPLIT(MID(C1059,2,LEN(C1059)-2), "","")"),110.0)</f>
        <v>110</v>
      </c>
      <c r="E1059" s="7"/>
      <c r="F1059" s="7"/>
      <c r="G1059" s="2" t="str">
        <f t="array" ref="G1059">IF(ISBLANK(D1059), "", INDEX(Categories!$B:$B,MATCH(D1059,Categories!$A:$A,0)))</f>
        <v>Automobile - Tires</v>
      </c>
      <c r="H1059" s="7" t="str">
        <f t="array" ref="H1059">IF(ISBLANK(E1059), "", INDEX(Categories!$B:$B,MATCH(E1059,Categories!$A:$A,0)))</f>
        <v/>
      </c>
      <c r="I1059" s="7" t="str">
        <f t="array" ref="I1059">IF(ISBLANK(F1059), "", INDEX(Categories!$B:$B,MATCH(F1059,Categories!$A:$A,0)))</f>
        <v/>
      </c>
      <c r="J1059" s="4"/>
      <c r="K1059" s="4"/>
      <c r="L1059" s="4"/>
      <c r="M1059" s="4"/>
      <c r="N1059" s="4"/>
      <c r="O1059" s="4"/>
      <c r="P1059" s="4"/>
      <c r="Q1059" s="4"/>
    </row>
    <row r="1060">
      <c r="A1060" s="5">
        <v>1059.0</v>
      </c>
      <c r="B1060" s="5" t="s">
        <v>1405</v>
      </c>
      <c r="C1060" s="5" t="s">
        <v>1371</v>
      </c>
      <c r="D1060" s="6">
        <f>IFERROR(__xludf.DUMMYFUNCTION("SPLIT(MID(C1060,2,LEN(C1060)-2), "","")"),2531.0)</f>
        <v>2531</v>
      </c>
      <c r="E1060" s="7"/>
      <c r="F1060" s="7"/>
      <c r="G1060" s="2" t="str">
        <f t="array" ref="G1060">IF(ISBLANK(D1060), "", INDEX(Categories!$B:$B,MATCH(D1060,Categories!$A:$A,0)))</f>
        <v>Building Cleaning Exterior</v>
      </c>
      <c r="H1060" s="7" t="str">
        <f t="array" ref="H1060">IF(ISBLANK(E1060), "", INDEX(Categories!$B:$B,MATCH(E1060,Categories!$A:$A,0)))</f>
        <v/>
      </c>
      <c r="I1060" s="7" t="str">
        <f t="array" ref="I1060">IF(ISBLANK(F1060), "", INDEX(Categories!$B:$B,MATCH(F1060,Categories!$A:$A,0)))</f>
        <v/>
      </c>
      <c r="J1060" s="4"/>
      <c r="K1060" s="4"/>
      <c r="L1060" s="4"/>
      <c r="M1060" s="4"/>
      <c r="N1060" s="4"/>
      <c r="O1060" s="4"/>
      <c r="P1060" s="4"/>
      <c r="Q1060" s="4"/>
    </row>
    <row r="1061">
      <c r="A1061" s="5">
        <v>1060.0</v>
      </c>
      <c r="B1061" s="5" t="s">
        <v>1406</v>
      </c>
      <c r="C1061" s="5" t="s">
        <v>1407</v>
      </c>
      <c r="D1061" s="6">
        <f>IFERROR(__xludf.DUMMYFUNCTION("SPLIT(MID(C1061,2,LEN(C1061)-2), "","")"),2876.0)</f>
        <v>2876</v>
      </c>
      <c r="E1061" s="7"/>
      <c r="F1061" s="7"/>
      <c r="G1061" s="2" t="str">
        <f t="array" ref="G1061">IF(ISBLANK(D1061), "", INDEX(Categories!$B:$B,MATCH(D1061,Categories!$A:$A,0)))</f>
        <v>Inspection Services</v>
      </c>
      <c r="H1061" s="7" t="str">
        <f t="array" ref="H1061">IF(ISBLANK(E1061), "", INDEX(Categories!$B:$B,MATCH(E1061,Categories!$A:$A,0)))</f>
        <v/>
      </c>
      <c r="I1061" s="7" t="str">
        <f t="array" ref="I1061">IF(ISBLANK(F1061), "", INDEX(Categories!$B:$B,MATCH(F1061,Categories!$A:$A,0)))</f>
        <v/>
      </c>
      <c r="J1061" s="4"/>
      <c r="K1061" s="4"/>
      <c r="L1061" s="4"/>
      <c r="M1061" s="4"/>
      <c r="N1061" s="4"/>
      <c r="O1061" s="4"/>
      <c r="P1061" s="4"/>
      <c r="Q1061" s="4"/>
    </row>
    <row r="1062">
      <c r="A1062" s="5">
        <v>1061.0</v>
      </c>
      <c r="B1062" s="5" t="s">
        <v>1408</v>
      </c>
      <c r="C1062" s="5" t="s">
        <v>309</v>
      </c>
      <c r="D1062" s="6">
        <f>IFERROR(__xludf.DUMMYFUNCTION("SPLIT(MID(C1062,2,LEN(C1062)-2), "","")"),458.0)</f>
        <v>458</v>
      </c>
      <c r="E1062" s="7"/>
      <c r="F1062" s="7"/>
      <c r="G1062" s="2" t="str">
        <f t="array" ref="G1062">IF(ISBLANK(D1062), "", INDEX(Categories!$B:$B,MATCH(D1062,Categories!$A:$A,0)))</f>
        <v>Real Estate - Brokers &amp; Agents</v>
      </c>
      <c r="H1062" s="7" t="str">
        <f t="array" ref="H1062">IF(ISBLANK(E1062), "", INDEX(Categories!$B:$B,MATCH(E1062,Categories!$A:$A,0)))</f>
        <v/>
      </c>
      <c r="I1062" s="7" t="str">
        <f t="array" ref="I1062">IF(ISBLANK(F1062), "", INDEX(Categories!$B:$B,MATCH(F1062,Categories!$A:$A,0)))</f>
        <v/>
      </c>
      <c r="J1062" s="4"/>
      <c r="K1062" s="4"/>
      <c r="L1062" s="4"/>
      <c r="M1062" s="4"/>
      <c r="N1062" s="4"/>
      <c r="O1062" s="4"/>
      <c r="P1062" s="4"/>
      <c r="Q1062" s="4"/>
    </row>
    <row r="1063">
      <c r="A1063" s="5">
        <v>1062.0</v>
      </c>
      <c r="B1063" s="5" t="s">
        <v>1409</v>
      </c>
      <c r="C1063" s="5" t="s">
        <v>62</v>
      </c>
      <c r="D1063" s="6">
        <f>IFERROR(__xludf.DUMMYFUNCTION("SPLIT(MID(C1063,2,LEN(C1063)-2), "","")"),242.0)</f>
        <v>242</v>
      </c>
      <c r="E1063" s="7"/>
      <c r="F1063" s="7"/>
      <c r="G1063" s="2" t="str">
        <f t="array" ref="G1063">IF(ISBLANK(D1063), "", INDEX(Categories!$B:$B,MATCH(D1063,Categories!$A:$A,0)))</f>
        <v>Restaurants Pizza</v>
      </c>
      <c r="H1063" s="7" t="str">
        <f t="array" ref="H1063">IF(ISBLANK(E1063), "", INDEX(Categories!$B:$B,MATCH(E1063,Categories!$A:$A,0)))</f>
        <v/>
      </c>
      <c r="I1063" s="7" t="str">
        <f t="array" ref="I1063">IF(ISBLANK(F1063), "", INDEX(Categories!$B:$B,MATCH(F1063,Categories!$A:$A,0)))</f>
        <v/>
      </c>
      <c r="J1063" s="4"/>
      <c r="K1063" s="4"/>
      <c r="L1063" s="4"/>
      <c r="M1063" s="4"/>
      <c r="N1063" s="4"/>
      <c r="O1063" s="4"/>
      <c r="P1063" s="4"/>
      <c r="Q1063" s="4"/>
    </row>
    <row r="1064">
      <c r="A1064" s="5">
        <v>1063.0</v>
      </c>
      <c r="B1064" s="5" t="s">
        <v>1410</v>
      </c>
      <c r="C1064" s="5" t="s">
        <v>1364</v>
      </c>
      <c r="D1064" s="6">
        <f>IFERROR(__xludf.DUMMYFUNCTION("SPLIT(MID(C1064,2,LEN(C1064)-2), "","")"),2543.0)</f>
        <v>2543</v>
      </c>
      <c r="E1064" s="7"/>
      <c r="F1064" s="7"/>
      <c r="G1064" s="2" t="str">
        <f t="array" ref="G1064">IF(ISBLANK(D1064), "", INDEX(Categories!$B:$B,MATCH(D1064,Categories!$A:$A,0)))</f>
        <v>Cleaning House &amp; Office</v>
      </c>
      <c r="H1064" s="7" t="str">
        <f t="array" ref="H1064">IF(ISBLANK(E1064), "", INDEX(Categories!$B:$B,MATCH(E1064,Categories!$A:$A,0)))</f>
        <v/>
      </c>
      <c r="I1064" s="7" t="str">
        <f t="array" ref="I1064">IF(ISBLANK(F1064), "", INDEX(Categories!$B:$B,MATCH(F1064,Categories!$A:$A,0)))</f>
        <v/>
      </c>
      <c r="J1064" s="4"/>
      <c r="K1064" s="4"/>
      <c r="L1064" s="4"/>
      <c r="M1064" s="4"/>
      <c r="N1064" s="4"/>
      <c r="O1064" s="4"/>
      <c r="P1064" s="4"/>
      <c r="Q1064" s="4"/>
    </row>
    <row r="1065">
      <c r="A1065" s="5">
        <v>1064.0</v>
      </c>
      <c r="B1065" s="5" t="s">
        <v>1411</v>
      </c>
      <c r="C1065" s="5" t="s">
        <v>62</v>
      </c>
      <c r="D1065" s="6">
        <f>IFERROR(__xludf.DUMMYFUNCTION("SPLIT(MID(C1065,2,LEN(C1065)-2), "","")"),242.0)</f>
        <v>242</v>
      </c>
      <c r="E1065" s="7"/>
      <c r="F1065" s="7"/>
      <c r="G1065" s="2" t="str">
        <f t="array" ref="G1065">IF(ISBLANK(D1065), "", INDEX(Categories!$B:$B,MATCH(D1065,Categories!$A:$A,0)))</f>
        <v>Restaurants Pizza</v>
      </c>
      <c r="H1065" s="7" t="str">
        <f t="array" ref="H1065">IF(ISBLANK(E1065), "", INDEX(Categories!$B:$B,MATCH(E1065,Categories!$A:$A,0)))</f>
        <v/>
      </c>
      <c r="I1065" s="7" t="str">
        <f t="array" ref="I1065">IF(ISBLANK(F1065), "", INDEX(Categories!$B:$B,MATCH(F1065,Categories!$A:$A,0)))</f>
        <v/>
      </c>
      <c r="J1065" s="4"/>
      <c r="K1065" s="4"/>
      <c r="L1065" s="4"/>
      <c r="M1065" s="4"/>
      <c r="N1065" s="4"/>
      <c r="O1065" s="4"/>
      <c r="P1065" s="4"/>
      <c r="Q1065" s="4"/>
    </row>
    <row r="1066">
      <c r="A1066" s="5">
        <v>1065.0</v>
      </c>
      <c r="B1066" s="5" t="s">
        <v>1412</v>
      </c>
      <c r="C1066" s="5" t="s">
        <v>631</v>
      </c>
      <c r="D1066" s="6">
        <f>IFERROR(__xludf.DUMMYFUNCTION("SPLIT(MID(C1066,2,LEN(C1066)-2), "","")"),25.0)</f>
        <v>25</v>
      </c>
      <c r="E1066" s="7"/>
      <c r="F1066" s="7"/>
      <c r="G1066" s="2" t="str">
        <f t="array" ref="G1066">IF(ISBLANK(D1066), "", INDEX(Categories!$B:$B,MATCH(D1066,Categories!$A:$A,0)))</f>
        <v>Furniture Dealers</v>
      </c>
      <c r="H1066" s="7" t="str">
        <f t="array" ref="H1066">IF(ISBLANK(E1066), "", INDEX(Categories!$B:$B,MATCH(E1066,Categories!$A:$A,0)))</f>
        <v/>
      </c>
      <c r="I1066" s="7" t="str">
        <f t="array" ref="I1066">IF(ISBLANK(F1066), "", INDEX(Categories!$B:$B,MATCH(F1066,Categories!$A:$A,0)))</f>
        <v/>
      </c>
      <c r="J1066" s="4"/>
      <c r="K1066" s="4"/>
      <c r="L1066" s="4"/>
      <c r="M1066" s="4"/>
      <c r="N1066" s="4"/>
      <c r="O1066" s="4"/>
      <c r="P1066" s="4"/>
      <c r="Q1066" s="4"/>
    </row>
    <row r="1067">
      <c r="A1067" s="5">
        <v>1066.0</v>
      </c>
      <c r="B1067" s="5" t="s">
        <v>1413</v>
      </c>
      <c r="C1067" s="5" t="s">
        <v>1414</v>
      </c>
      <c r="D1067" s="6">
        <f>IFERROR(__xludf.DUMMYFUNCTION("SPLIT(MID(C1067,2,LEN(C1067)-2), "","")"),1468.0)</f>
        <v>1468</v>
      </c>
      <c r="E1067" s="7"/>
      <c r="F1067" s="7"/>
      <c r="G1067" s="2" t="str">
        <f t="array" ref="G1067">IF(ISBLANK(D1067), "", INDEX(Categories!$B:$B,MATCH(D1067,Categories!$A:$A,0)))</f>
        <v>Transportation Services</v>
      </c>
      <c r="H1067" s="7" t="str">
        <f t="array" ref="H1067">IF(ISBLANK(E1067), "", INDEX(Categories!$B:$B,MATCH(E1067,Categories!$A:$A,0)))</f>
        <v/>
      </c>
      <c r="I1067" s="7" t="str">
        <f t="array" ref="I1067">IF(ISBLANK(F1067), "", INDEX(Categories!$B:$B,MATCH(F1067,Categories!$A:$A,0)))</f>
        <v/>
      </c>
      <c r="J1067" s="4"/>
      <c r="K1067" s="4"/>
      <c r="L1067" s="4"/>
      <c r="M1067" s="4"/>
      <c r="N1067" s="4"/>
      <c r="O1067" s="4"/>
      <c r="P1067" s="4"/>
      <c r="Q1067" s="4"/>
    </row>
    <row r="1068">
      <c r="A1068" s="5">
        <v>1067.0</v>
      </c>
      <c r="B1068" s="5" t="s">
        <v>1415</v>
      </c>
      <c r="C1068" s="5" t="s">
        <v>34</v>
      </c>
      <c r="D1068" s="6">
        <f>IFERROR(__xludf.DUMMYFUNCTION("SPLIT(MID(C1068,2,LEN(C1068)-2), "","")"),228.0)</f>
        <v>228</v>
      </c>
      <c r="E1068" s="7"/>
      <c r="F1068" s="7"/>
      <c r="G1068" s="2" t="str">
        <f t="array" ref="G1068">IF(ISBLANK(D1068), "", INDEX(Categories!$B:$B,MATCH(D1068,Categories!$A:$A,0)))</f>
        <v>Restaurants</v>
      </c>
      <c r="H1068" s="7" t="str">
        <f t="array" ref="H1068">IF(ISBLANK(E1068), "", INDEX(Categories!$B:$B,MATCH(E1068,Categories!$A:$A,0)))</f>
        <v/>
      </c>
      <c r="I1068" s="7" t="str">
        <f t="array" ref="I1068">IF(ISBLANK(F1068), "", INDEX(Categories!$B:$B,MATCH(F1068,Categories!$A:$A,0)))</f>
        <v/>
      </c>
      <c r="J1068" s="4"/>
      <c r="K1068" s="4"/>
      <c r="L1068" s="4"/>
      <c r="M1068" s="4"/>
      <c r="N1068" s="4"/>
      <c r="O1068" s="4"/>
      <c r="P1068" s="4"/>
      <c r="Q1068" s="4"/>
    </row>
    <row r="1069">
      <c r="A1069" s="5">
        <v>1068.0</v>
      </c>
      <c r="B1069" s="5" t="s">
        <v>1416</v>
      </c>
      <c r="C1069" s="5" t="s">
        <v>115</v>
      </c>
      <c r="D1069" s="6">
        <f>IFERROR(__xludf.DUMMYFUNCTION("SPLIT(MID(C1069,2,LEN(C1069)-2), "","")"),1272.0)</f>
        <v>1272</v>
      </c>
      <c r="E1069" s="7"/>
      <c r="F1069" s="7"/>
      <c r="G1069" s="2" t="str">
        <f t="array" ref="G1069">IF(ISBLANK(D1069), "", INDEX(Categories!$B:$B,MATCH(D1069,Categories!$A:$A,0)))</f>
        <v>Womens Apparel</v>
      </c>
      <c r="H1069" s="7" t="str">
        <f t="array" ref="H1069">IF(ISBLANK(E1069), "", INDEX(Categories!$B:$B,MATCH(E1069,Categories!$A:$A,0)))</f>
        <v/>
      </c>
      <c r="I1069" s="7" t="str">
        <f t="array" ref="I1069">IF(ISBLANK(F1069), "", INDEX(Categories!$B:$B,MATCH(F1069,Categories!$A:$A,0)))</f>
        <v/>
      </c>
      <c r="J1069" s="4"/>
      <c r="K1069" s="4"/>
      <c r="L1069" s="4"/>
      <c r="M1069" s="4"/>
      <c r="N1069" s="4"/>
      <c r="O1069" s="4"/>
      <c r="P1069" s="4"/>
      <c r="Q1069" s="4"/>
    </row>
    <row r="1070">
      <c r="A1070" s="5">
        <v>1069.0</v>
      </c>
      <c r="B1070" s="5" t="s">
        <v>1417</v>
      </c>
      <c r="C1070" s="5" t="s">
        <v>238</v>
      </c>
      <c r="D1070" s="6">
        <f>IFERROR(__xludf.DUMMYFUNCTION("SPLIT(MID(C1070,2,LEN(C1070)-2), "","")"),2536.0)</f>
        <v>2536</v>
      </c>
      <c r="E1070" s="7"/>
      <c r="F1070" s="7"/>
      <c r="G1070" s="2" t="str">
        <f t="array" ref="G1070">IF(ISBLANK(D1070), "", INDEX(Categories!$B:$B,MATCH(D1070,Categories!$A:$A,0)))</f>
        <v>Carpet Rug &amp; Upholstery Cleaners</v>
      </c>
      <c r="H1070" s="7" t="str">
        <f t="array" ref="H1070">IF(ISBLANK(E1070), "", INDEX(Categories!$B:$B,MATCH(E1070,Categories!$A:$A,0)))</f>
        <v/>
      </c>
      <c r="I1070" s="7" t="str">
        <f t="array" ref="I1070">IF(ISBLANK(F1070), "", INDEX(Categories!$B:$B,MATCH(F1070,Categories!$A:$A,0)))</f>
        <v/>
      </c>
      <c r="J1070" s="4"/>
      <c r="K1070" s="4"/>
      <c r="L1070" s="4"/>
      <c r="M1070" s="4"/>
      <c r="N1070" s="4"/>
      <c r="O1070" s="4"/>
      <c r="P1070" s="4"/>
      <c r="Q1070" s="4"/>
    </row>
    <row r="1071">
      <c r="A1071" s="5">
        <v>1070.0</v>
      </c>
      <c r="B1071" s="5" t="s">
        <v>1418</v>
      </c>
      <c r="C1071" s="5" t="s">
        <v>307</v>
      </c>
      <c r="D1071" s="6">
        <f>IFERROR(__xludf.DUMMYFUNCTION("SPLIT(MID(C1071,2,LEN(C1071)-2), "","")"),241.0)</f>
        <v>241</v>
      </c>
      <c r="E1071" s="7"/>
      <c r="F1071" s="7"/>
      <c r="G1071" s="2" t="str">
        <f t="array" ref="G1071">IF(ISBLANK(D1071), "", INDEX(Categories!$B:$B,MATCH(D1071,Categories!$A:$A,0)))</f>
        <v>Restaurants Mexican</v>
      </c>
      <c r="H1071" s="7" t="str">
        <f t="array" ref="H1071">IF(ISBLANK(E1071), "", INDEX(Categories!$B:$B,MATCH(E1071,Categories!$A:$A,0)))</f>
        <v/>
      </c>
      <c r="I1071" s="7" t="str">
        <f t="array" ref="I1071">IF(ISBLANK(F1071), "", INDEX(Categories!$B:$B,MATCH(F1071,Categories!$A:$A,0)))</f>
        <v/>
      </c>
      <c r="J1071" s="4"/>
      <c r="K1071" s="4"/>
      <c r="L1071" s="4"/>
      <c r="M1071" s="4"/>
      <c r="N1071" s="4"/>
      <c r="O1071" s="4"/>
      <c r="P1071" s="4"/>
      <c r="Q1071" s="4"/>
    </row>
    <row r="1072">
      <c r="A1072" s="5">
        <v>1071.0</v>
      </c>
      <c r="B1072" s="5" t="s">
        <v>1419</v>
      </c>
      <c r="C1072" s="5" t="s">
        <v>69</v>
      </c>
      <c r="D1072" s="6">
        <f>IFERROR(__xludf.DUMMYFUNCTION("SPLIT(MID(C1072,2,LEN(C1072)-2), "","")"),293.0)</f>
        <v>293</v>
      </c>
      <c r="E1072" s="7"/>
      <c r="F1072" s="7"/>
      <c r="G1072" s="2" t="str">
        <f t="array" ref="G1072">IF(ISBLANK(D1072), "", INDEX(Categories!$B:$B,MATCH(D1072,Categories!$A:$A,0)))</f>
        <v>Banks Commercial</v>
      </c>
      <c r="H1072" s="7" t="str">
        <f t="array" ref="H1072">IF(ISBLANK(E1072), "", INDEX(Categories!$B:$B,MATCH(E1072,Categories!$A:$A,0)))</f>
        <v/>
      </c>
      <c r="I1072" s="7" t="str">
        <f t="array" ref="I1072">IF(ISBLANK(F1072), "", INDEX(Categories!$B:$B,MATCH(F1072,Categories!$A:$A,0)))</f>
        <v/>
      </c>
      <c r="J1072" s="4"/>
      <c r="K1072" s="4"/>
      <c r="L1072" s="4"/>
      <c r="M1072" s="4"/>
      <c r="N1072" s="4"/>
      <c r="O1072" s="4"/>
      <c r="P1072" s="4"/>
      <c r="Q1072" s="4"/>
    </row>
    <row r="1073">
      <c r="A1073" s="5">
        <v>1072.0</v>
      </c>
      <c r="B1073" s="5" t="s">
        <v>1420</v>
      </c>
      <c r="C1073" s="5" t="s">
        <v>69</v>
      </c>
      <c r="D1073" s="6">
        <f>IFERROR(__xludf.DUMMYFUNCTION("SPLIT(MID(C1073,2,LEN(C1073)-2), "","")"),293.0)</f>
        <v>293</v>
      </c>
      <c r="E1073" s="7"/>
      <c r="F1073" s="7"/>
      <c r="G1073" s="2" t="str">
        <f t="array" ref="G1073">IF(ISBLANK(D1073), "", INDEX(Categories!$B:$B,MATCH(D1073,Categories!$A:$A,0)))</f>
        <v>Banks Commercial</v>
      </c>
      <c r="H1073" s="7" t="str">
        <f t="array" ref="H1073">IF(ISBLANK(E1073), "", INDEX(Categories!$B:$B,MATCH(E1073,Categories!$A:$A,0)))</f>
        <v/>
      </c>
      <c r="I1073" s="7" t="str">
        <f t="array" ref="I1073">IF(ISBLANK(F1073), "", INDEX(Categories!$B:$B,MATCH(F1073,Categories!$A:$A,0)))</f>
        <v/>
      </c>
      <c r="J1073" s="4"/>
      <c r="K1073" s="4"/>
      <c r="L1073" s="4"/>
      <c r="M1073" s="4"/>
      <c r="N1073" s="4"/>
      <c r="O1073" s="4"/>
      <c r="P1073" s="4"/>
      <c r="Q1073" s="4"/>
    </row>
    <row r="1074">
      <c r="A1074" s="5">
        <v>1073.0</v>
      </c>
      <c r="B1074" s="5" t="s">
        <v>1421</v>
      </c>
      <c r="C1074" s="5" t="s">
        <v>69</v>
      </c>
      <c r="D1074" s="6">
        <f>IFERROR(__xludf.DUMMYFUNCTION("SPLIT(MID(C1074,2,LEN(C1074)-2), "","")"),293.0)</f>
        <v>293</v>
      </c>
      <c r="E1074" s="7"/>
      <c r="F1074" s="7"/>
      <c r="G1074" s="2" t="str">
        <f t="array" ref="G1074">IF(ISBLANK(D1074), "", INDEX(Categories!$B:$B,MATCH(D1074,Categories!$A:$A,0)))</f>
        <v>Banks Commercial</v>
      </c>
      <c r="H1074" s="7" t="str">
        <f t="array" ref="H1074">IF(ISBLANK(E1074), "", INDEX(Categories!$B:$B,MATCH(E1074,Categories!$A:$A,0)))</f>
        <v/>
      </c>
      <c r="I1074" s="7" t="str">
        <f t="array" ref="I1074">IF(ISBLANK(F1074), "", INDEX(Categories!$B:$B,MATCH(F1074,Categories!$A:$A,0)))</f>
        <v/>
      </c>
      <c r="J1074" s="4"/>
      <c r="K1074" s="4"/>
      <c r="L1074" s="4"/>
      <c r="M1074" s="4"/>
      <c r="N1074" s="4"/>
      <c r="O1074" s="4"/>
      <c r="P1074" s="4"/>
      <c r="Q1074" s="4"/>
    </row>
    <row r="1075">
      <c r="A1075" s="5">
        <v>1074.0</v>
      </c>
      <c r="B1075" s="5" t="s">
        <v>1422</v>
      </c>
      <c r="C1075" s="5" t="s">
        <v>1364</v>
      </c>
      <c r="D1075" s="6">
        <f>IFERROR(__xludf.DUMMYFUNCTION("SPLIT(MID(C1075,2,LEN(C1075)-2), "","")"),2543.0)</f>
        <v>2543</v>
      </c>
      <c r="E1075" s="7"/>
      <c r="F1075" s="7"/>
      <c r="G1075" s="2" t="str">
        <f t="array" ref="G1075">IF(ISBLANK(D1075), "", INDEX(Categories!$B:$B,MATCH(D1075,Categories!$A:$A,0)))</f>
        <v>Cleaning House &amp; Office</v>
      </c>
      <c r="H1075" s="7" t="str">
        <f t="array" ref="H1075">IF(ISBLANK(E1075), "", INDEX(Categories!$B:$B,MATCH(E1075,Categories!$A:$A,0)))</f>
        <v/>
      </c>
      <c r="I1075" s="7" t="str">
        <f t="array" ref="I1075">IF(ISBLANK(F1075), "", INDEX(Categories!$B:$B,MATCH(F1075,Categories!$A:$A,0)))</f>
        <v/>
      </c>
      <c r="J1075" s="4"/>
      <c r="K1075" s="4"/>
      <c r="L1075" s="4"/>
      <c r="M1075" s="4"/>
      <c r="N1075" s="4"/>
      <c r="O1075" s="4"/>
      <c r="P1075" s="4"/>
      <c r="Q1075" s="4"/>
    </row>
    <row r="1076">
      <c r="A1076" s="5">
        <v>1075.0</v>
      </c>
      <c r="B1076" s="5" t="s">
        <v>1423</v>
      </c>
      <c r="C1076" s="5" t="s">
        <v>246</v>
      </c>
      <c r="D1076" s="6">
        <f>IFERROR(__xludf.DUMMYFUNCTION("SPLIT(MID(C1076,2,LEN(C1076)-2), "","")"),1587.0)</f>
        <v>1587</v>
      </c>
      <c r="E1076" s="7"/>
      <c r="F1076" s="7"/>
      <c r="G1076" s="2" t="str">
        <f t="array" ref="G1076">IF(ISBLANK(D1076), "", INDEX(Categories!$B:$B,MATCH(D1076,Categories!$A:$A,0)))</f>
        <v>Educational Services</v>
      </c>
      <c r="H1076" s="7" t="str">
        <f t="array" ref="H1076">IF(ISBLANK(E1076), "", INDEX(Categories!$B:$B,MATCH(E1076,Categories!$A:$A,0)))</f>
        <v/>
      </c>
      <c r="I1076" s="7" t="str">
        <f t="array" ref="I1076">IF(ISBLANK(F1076), "", INDEX(Categories!$B:$B,MATCH(F1076,Categories!$A:$A,0)))</f>
        <v/>
      </c>
      <c r="J1076" s="4"/>
      <c r="K1076" s="4"/>
      <c r="L1076" s="4"/>
      <c r="M1076" s="4"/>
      <c r="N1076" s="4"/>
      <c r="O1076" s="4"/>
      <c r="P1076" s="4"/>
      <c r="Q1076" s="4"/>
    </row>
    <row r="1077">
      <c r="A1077" s="5">
        <v>1076.0</v>
      </c>
      <c r="B1077" s="5" t="s">
        <v>1424</v>
      </c>
      <c r="C1077" s="5" t="s">
        <v>1425</v>
      </c>
      <c r="D1077" s="6">
        <f>IFERROR(__xludf.DUMMYFUNCTION("SPLIT(MID(C1077,2,LEN(C1077)-2), "","")"),773.0)</f>
        <v>773</v>
      </c>
      <c r="E1077" s="7"/>
      <c r="F1077" s="7"/>
      <c r="G1077" s="2" t="str">
        <f t="array" ref="G1077">IF(ISBLANK(D1077), "", INDEX(Categories!$B:$B,MATCH(D1077,Categories!$A:$A,0)))</f>
        <v>Newspapers</v>
      </c>
      <c r="H1077" s="7" t="str">
        <f t="array" ref="H1077">IF(ISBLANK(E1077), "", INDEX(Categories!$B:$B,MATCH(E1077,Categories!$A:$A,0)))</f>
        <v/>
      </c>
      <c r="I1077" s="7" t="str">
        <f t="array" ref="I1077">IF(ISBLANK(F1077), "", INDEX(Categories!$B:$B,MATCH(F1077,Categories!$A:$A,0)))</f>
        <v/>
      </c>
      <c r="J1077" s="4"/>
      <c r="K1077" s="4"/>
      <c r="L1077" s="4"/>
      <c r="M1077" s="4"/>
      <c r="N1077" s="4"/>
      <c r="O1077" s="4"/>
      <c r="P1077" s="4"/>
      <c r="Q1077" s="4"/>
    </row>
    <row r="1078">
      <c r="A1078" s="5">
        <v>1077.0</v>
      </c>
      <c r="B1078" s="5" t="s">
        <v>1426</v>
      </c>
      <c r="C1078" s="5" t="s">
        <v>12</v>
      </c>
      <c r="D1078" s="6">
        <f>IFERROR(__xludf.DUMMYFUNCTION("SPLIT(MID(C1078,2,LEN(C1078)-2), "","")"),469.0)</f>
        <v>469</v>
      </c>
      <c r="E1078" s="7"/>
      <c r="F1078" s="7"/>
      <c r="G1078" s="2" t="str">
        <f t="array" ref="G1078">IF(ISBLANK(D1078), "", INDEX(Categories!$B:$B,MATCH(D1078,Categories!$A:$A,0)))</f>
        <v>Automobile - Repairs &amp; Services</v>
      </c>
      <c r="H1078" s="7" t="str">
        <f t="array" ref="H1078">IF(ISBLANK(E1078), "", INDEX(Categories!$B:$B,MATCH(E1078,Categories!$A:$A,0)))</f>
        <v/>
      </c>
      <c r="I1078" s="7" t="str">
        <f t="array" ref="I1078">IF(ISBLANK(F1078), "", INDEX(Categories!$B:$B,MATCH(F1078,Categories!$A:$A,0)))</f>
        <v/>
      </c>
      <c r="J1078" s="4"/>
      <c r="K1078" s="4"/>
      <c r="L1078" s="4"/>
      <c r="M1078" s="4"/>
      <c r="N1078" s="4"/>
      <c r="O1078" s="4"/>
      <c r="P1078" s="4"/>
      <c r="Q1078" s="4"/>
    </row>
    <row r="1079">
      <c r="A1079" s="5">
        <v>1078.0</v>
      </c>
      <c r="B1079" s="5" t="s">
        <v>1427</v>
      </c>
      <c r="C1079" s="5" t="s">
        <v>1428</v>
      </c>
      <c r="D1079" s="6">
        <f>IFERROR(__xludf.DUMMYFUNCTION("SPLIT(MID(C1079,2,LEN(C1079)-2), "","")"),2288.0)</f>
        <v>2288</v>
      </c>
      <c r="E1079" s="7"/>
      <c r="F1079" s="7"/>
      <c r="G1079" s="2" t="str">
        <f t="array" ref="G1079">IF(ISBLANK(D1079), "", INDEX(Categories!$B:$B,MATCH(D1079,Categories!$A:$A,0)))</f>
        <v>Disc Jockey Services</v>
      </c>
      <c r="H1079" s="7" t="str">
        <f t="array" ref="H1079">IF(ISBLANK(E1079), "", INDEX(Categories!$B:$B,MATCH(E1079,Categories!$A:$A,0)))</f>
        <v/>
      </c>
      <c r="I1079" s="7" t="str">
        <f t="array" ref="I1079">IF(ISBLANK(F1079), "", INDEX(Categories!$B:$B,MATCH(F1079,Categories!$A:$A,0)))</f>
        <v/>
      </c>
      <c r="J1079" s="4"/>
      <c r="K1079" s="4"/>
      <c r="L1079" s="4"/>
      <c r="M1079" s="4"/>
      <c r="N1079" s="4"/>
      <c r="O1079" s="4"/>
      <c r="P1079" s="4"/>
      <c r="Q1079" s="4"/>
    </row>
    <row r="1080">
      <c r="A1080" s="5">
        <v>1079.0</v>
      </c>
      <c r="B1080" s="5" t="s">
        <v>1429</v>
      </c>
      <c r="C1080" s="5" t="s">
        <v>1275</v>
      </c>
      <c r="D1080" s="6">
        <f>IFERROR(__xludf.DUMMYFUNCTION("SPLIT(MID(C1080,2,LEN(C1080)-2), "","")"),906.0)</f>
        <v>906</v>
      </c>
      <c r="E1080" s="7"/>
      <c r="F1080" s="7"/>
      <c r="G1080" s="2" t="str">
        <f t="array" ref="G1080">IF(ISBLANK(D1080), "", INDEX(Categories!$B:$B,MATCH(D1080,Categories!$A:$A,0)))</f>
        <v>Computer Technical Assistance &amp; Support Services</v>
      </c>
      <c r="H1080" s="7" t="str">
        <f t="array" ref="H1080">IF(ISBLANK(E1080), "", INDEX(Categories!$B:$B,MATCH(E1080,Categories!$A:$A,0)))</f>
        <v/>
      </c>
      <c r="I1080" s="7" t="str">
        <f t="array" ref="I1080">IF(ISBLANK(F1080), "", INDEX(Categories!$B:$B,MATCH(F1080,Categories!$A:$A,0)))</f>
        <v/>
      </c>
      <c r="J1080" s="4"/>
      <c r="K1080" s="4"/>
      <c r="L1080" s="4"/>
      <c r="M1080" s="4"/>
      <c r="N1080" s="4"/>
      <c r="O1080" s="4"/>
      <c r="P1080" s="4"/>
      <c r="Q1080" s="4"/>
    </row>
    <row r="1081">
      <c r="A1081" s="5">
        <v>1080.0</v>
      </c>
      <c r="B1081" s="5" t="s">
        <v>1430</v>
      </c>
      <c r="C1081" s="5" t="s">
        <v>1431</v>
      </c>
      <c r="D1081" s="6">
        <f>IFERROR(__xludf.DUMMYFUNCTION("SPLIT(MID(C1081,2,LEN(C1081)-2), "","")"),905.0)</f>
        <v>905</v>
      </c>
      <c r="E1081" s="7"/>
      <c r="F1081" s="7"/>
      <c r="G1081" s="2" t="str">
        <f t="array" ref="G1081">IF(ISBLANK(D1081), "", INDEX(Categories!$B:$B,MATCH(D1081,Categories!$A:$A,0)))</f>
        <v>Computer System Designers &amp; Consultants</v>
      </c>
      <c r="H1081" s="7" t="str">
        <f t="array" ref="H1081">IF(ISBLANK(E1081), "", INDEX(Categories!$B:$B,MATCH(E1081,Categories!$A:$A,0)))</f>
        <v/>
      </c>
      <c r="I1081" s="7" t="str">
        <f t="array" ref="I1081">IF(ISBLANK(F1081), "", INDEX(Categories!$B:$B,MATCH(F1081,Categories!$A:$A,0)))</f>
        <v/>
      </c>
      <c r="J1081" s="4"/>
      <c r="K1081" s="4"/>
      <c r="L1081" s="4"/>
      <c r="M1081" s="4"/>
      <c r="N1081" s="4"/>
      <c r="O1081" s="4"/>
      <c r="P1081" s="4"/>
      <c r="Q1081" s="4"/>
    </row>
    <row r="1082">
      <c r="A1082" s="5">
        <v>1081.0</v>
      </c>
      <c r="B1082" s="5" t="s">
        <v>1432</v>
      </c>
      <c r="C1082" s="5" t="s">
        <v>1433</v>
      </c>
      <c r="D1082" s="6">
        <f>IFERROR(__xludf.DUMMYFUNCTION("SPLIT(MID(C1082,2,LEN(C1082)-2), "","")"),1175.0)</f>
        <v>1175</v>
      </c>
      <c r="E1082" s="7"/>
      <c r="F1082" s="7"/>
      <c r="G1082" s="2" t="str">
        <f t="array" ref="G1082">IF(ISBLANK(D1082), "", INDEX(Categories!$B:$B,MATCH(D1082,Categories!$A:$A,0)))</f>
        <v>Coal Miners &amp; Shippers</v>
      </c>
      <c r="H1082" s="7" t="str">
        <f t="array" ref="H1082">IF(ISBLANK(E1082), "", INDEX(Categories!$B:$B,MATCH(E1082,Categories!$A:$A,0)))</f>
        <v/>
      </c>
      <c r="I1082" s="7" t="str">
        <f t="array" ref="I1082">IF(ISBLANK(F1082), "", INDEX(Categories!$B:$B,MATCH(F1082,Categories!$A:$A,0)))</f>
        <v/>
      </c>
      <c r="J1082" s="4"/>
      <c r="K1082" s="4"/>
      <c r="L1082" s="4"/>
      <c r="M1082" s="4"/>
      <c r="N1082" s="4"/>
      <c r="O1082" s="4"/>
      <c r="P1082" s="4"/>
      <c r="Q1082" s="4"/>
    </row>
    <row r="1083">
      <c r="A1083" s="5">
        <v>1082.0</v>
      </c>
      <c r="B1083" s="5" t="s">
        <v>1434</v>
      </c>
      <c r="C1083" s="5" t="s">
        <v>107</v>
      </c>
      <c r="D1083" s="6">
        <f>IFERROR(__xludf.DUMMYFUNCTION("SPLIT(MID(C1083,2,LEN(C1083)-2), "","")"),760.0)</f>
        <v>760</v>
      </c>
      <c r="E1083" s="7"/>
      <c r="F1083" s="7"/>
      <c r="G1083" s="2" t="str">
        <f t="array" ref="G1083">IF(ISBLANK(D1083), "", INDEX(Categories!$B:$B,MATCH(D1083,Categories!$A:$A,0)))</f>
        <v>Discount Stores</v>
      </c>
      <c r="H1083" s="7" t="str">
        <f t="array" ref="H1083">IF(ISBLANK(E1083), "", INDEX(Categories!$B:$B,MATCH(E1083,Categories!$A:$A,0)))</f>
        <v/>
      </c>
      <c r="I1083" s="7" t="str">
        <f t="array" ref="I1083">IF(ISBLANK(F1083), "", INDEX(Categories!$B:$B,MATCH(F1083,Categories!$A:$A,0)))</f>
        <v/>
      </c>
      <c r="J1083" s="4"/>
      <c r="K1083" s="4"/>
      <c r="L1083" s="4"/>
      <c r="M1083" s="4"/>
      <c r="N1083" s="4"/>
      <c r="O1083" s="4"/>
      <c r="P1083" s="4"/>
      <c r="Q1083" s="4"/>
    </row>
    <row r="1084">
      <c r="A1084" s="5">
        <v>1083.0</v>
      </c>
      <c r="B1084" s="5" t="s">
        <v>1435</v>
      </c>
      <c r="C1084" s="5" t="s">
        <v>87</v>
      </c>
      <c r="D1084" s="6">
        <f>IFERROR(__xludf.DUMMYFUNCTION("SPLIT(MID(C1084,2,LEN(C1084)-2), "","")"),168.0)</f>
        <v>168</v>
      </c>
      <c r="E1084" s="7"/>
      <c r="F1084" s="7"/>
      <c r="G1084" s="2" t="str">
        <f t="array" ref="G1084">IF(ISBLANK(D1084), "", INDEX(Categories!$B:$B,MATCH(D1084,Categories!$A:$A,0)))</f>
        <v>Hotels &amp; Motels</v>
      </c>
      <c r="H1084" s="7" t="str">
        <f t="array" ref="H1084">IF(ISBLANK(E1084), "", INDEX(Categories!$B:$B,MATCH(E1084,Categories!$A:$A,0)))</f>
        <v/>
      </c>
      <c r="I1084" s="7" t="str">
        <f t="array" ref="I1084">IF(ISBLANK(F1084), "", INDEX(Categories!$B:$B,MATCH(F1084,Categories!$A:$A,0)))</f>
        <v/>
      </c>
      <c r="J1084" s="4"/>
      <c r="K1084" s="4"/>
      <c r="L1084" s="4"/>
      <c r="M1084" s="4"/>
      <c r="N1084" s="4"/>
      <c r="O1084" s="4"/>
      <c r="P1084" s="4"/>
      <c r="Q1084" s="4"/>
    </row>
    <row r="1085">
      <c r="A1085" s="5">
        <v>1084.0</v>
      </c>
      <c r="B1085" s="5" t="s">
        <v>1436</v>
      </c>
      <c r="C1085" s="5" t="s">
        <v>51</v>
      </c>
      <c r="D1085" s="6">
        <f>IFERROR(__xludf.DUMMYFUNCTION("SPLIT(MID(C1085,2,LEN(C1085)-2), "","")"),608.0)</f>
        <v>608</v>
      </c>
      <c r="E1085" s="7"/>
      <c r="F1085" s="7"/>
      <c r="G1085" s="2" t="str">
        <f t="array" ref="G1085">IF(ISBLANK(D1085), "", INDEX(Categories!$B:$B,MATCH(D1085,Categories!$A:$A,0)))</f>
        <v>Sandwiches</v>
      </c>
      <c r="H1085" s="7" t="str">
        <f t="array" ref="H1085">IF(ISBLANK(E1085), "", INDEX(Categories!$B:$B,MATCH(E1085,Categories!$A:$A,0)))</f>
        <v/>
      </c>
      <c r="I1085" s="7" t="str">
        <f t="array" ref="I1085">IF(ISBLANK(F1085), "", INDEX(Categories!$B:$B,MATCH(F1085,Categories!$A:$A,0)))</f>
        <v/>
      </c>
      <c r="J1085" s="4"/>
      <c r="K1085" s="4"/>
      <c r="L1085" s="4"/>
      <c r="M1085" s="4"/>
      <c r="N1085" s="4"/>
      <c r="O1085" s="4"/>
      <c r="P1085" s="4"/>
      <c r="Q1085" s="4"/>
    </row>
    <row r="1086">
      <c r="A1086" s="5">
        <v>1085.0</v>
      </c>
      <c r="B1086" s="5" t="s">
        <v>1437</v>
      </c>
      <c r="C1086" s="5" t="s">
        <v>328</v>
      </c>
      <c r="D1086" s="6">
        <f>IFERROR(__xludf.DUMMYFUNCTION("SPLIT(MID(C1086,2,LEN(C1086)-2), "","")"),31.0)</f>
        <v>31</v>
      </c>
      <c r="E1086" s="7"/>
      <c r="F1086" s="7"/>
      <c r="G1086" s="2" t="str">
        <f t="array" ref="G1086">IF(ISBLANK(D1086), "", INDEX(Categories!$B:$B,MATCH(D1086,Categories!$A:$A,0)))</f>
        <v>Furniture Repairing &amp; Refinishing</v>
      </c>
      <c r="H1086" s="7" t="str">
        <f t="array" ref="H1086">IF(ISBLANK(E1086), "", INDEX(Categories!$B:$B,MATCH(E1086,Categories!$A:$A,0)))</f>
        <v/>
      </c>
      <c r="I1086" s="7" t="str">
        <f t="array" ref="I1086">IF(ISBLANK(F1086), "", INDEX(Categories!$B:$B,MATCH(F1086,Categories!$A:$A,0)))</f>
        <v/>
      </c>
      <c r="J1086" s="4"/>
      <c r="K1086" s="4"/>
      <c r="L1086" s="4"/>
      <c r="M1086" s="4"/>
      <c r="N1086" s="4"/>
      <c r="O1086" s="4"/>
      <c r="P1086" s="4"/>
      <c r="Q1086" s="4"/>
    </row>
    <row r="1087">
      <c r="A1087" s="5">
        <v>1086.0</v>
      </c>
      <c r="B1087" s="5" t="s">
        <v>1438</v>
      </c>
      <c r="C1087" s="5" t="s">
        <v>1439</v>
      </c>
      <c r="D1087" s="6">
        <f>IFERROR(__xludf.DUMMYFUNCTION("SPLIT(MID(C1087,2,LEN(C1087)-2), "","")"),2763.0)</f>
        <v>2763</v>
      </c>
      <c r="E1087" s="7"/>
      <c r="F1087" s="7"/>
      <c r="G1087" s="2" t="str">
        <f t="array" ref="G1087">IF(ISBLANK(D1087), "", INDEX(Categories!$B:$B,MATCH(D1087,Categories!$A:$A,0)))</f>
        <v>Holding Companies</v>
      </c>
      <c r="H1087" s="7" t="str">
        <f t="array" ref="H1087">IF(ISBLANK(E1087), "", INDEX(Categories!$B:$B,MATCH(E1087,Categories!$A:$A,0)))</f>
        <v/>
      </c>
      <c r="I1087" s="7" t="str">
        <f t="array" ref="I1087">IF(ISBLANK(F1087), "", INDEX(Categories!$B:$B,MATCH(F1087,Categories!$A:$A,0)))</f>
        <v/>
      </c>
      <c r="J1087" s="4"/>
      <c r="K1087" s="4"/>
      <c r="L1087" s="4"/>
      <c r="M1087" s="4"/>
      <c r="N1087" s="4"/>
      <c r="O1087" s="4"/>
      <c r="P1087" s="4"/>
      <c r="Q1087" s="4"/>
    </row>
    <row r="1088">
      <c r="A1088" s="5">
        <v>1087.0</v>
      </c>
      <c r="B1088" s="5" t="s">
        <v>1440</v>
      </c>
      <c r="C1088" s="5" t="s">
        <v>34</v>
      </c>
      <c r="D1088" s="6">
        <f>IFERROR(__xludf.DUMMYFUNCTION("SPLIT(MID(C1088,2,LEN(C1088)-2), "","")"),228.0)</f>
        <v>228</v>
      </c>
      <c r="E1088" s="7"/>
      <c r="F1088" s="7"/>
      <c r="G1088" s="2" t="str">
        <f t="array" ref="G1088">IF(ISBLANK(D1088), "", INDEX(Categories!$B:$B,MATCH(D1088,Categories!$A:$A,0)))</f>
        <v>Restaurants</v>
      </c>
      <c r="H1088" s="7" t="str">
        <f t="array" ref="H1088">IF(ISBLANK(E1088), "", INDEX(Categories!$B:$B,MATCH(E1088,Categories!$A:$A,0)))</f>
        <v/>
      </c>
      <c r="I1088" s="7" t="str">
        <f t="array" ref="I1088">IF(ISBLANK(F1088), "", INDEX(Categories!$B:$B,MATCH(F1088,Categories!$A:$A,0)))</f>
        <v/>
      </c>
      <c r="J1088" s="4"/>
      <c r="K1088" s="4"/>
      <c r="L1088" s="4"/>
      <c r="M1088" s="4"/>
      <c r="N1088" s="4"/>
      <c r="O1088" s="4"/>
      <c r="P1088" s="4"/>
      <c r="Q1088" s="4"/>
    </row>
    <row r="1089">
      <c r="A1089" s="5">
        <v>1088.0</v>
      </c>
      <c r="B1089" s="5" t="s">
        <v>1441</v>
      </c>
      <c r="C1089" s="5" t="s">
        <v>346</v>
      </c>
      <c r="D1089" s="6">
        <f>IFERROR(__xludf.DUMMYFUNCTION("SPLIT(MID(C1089,2,LEN(C1089)-2), "","")"),610.0)</f>
        <v>610</v>
      </c>
      <c r="E1089" s="7"/>
      <c r="F1089" s="7"/>
      <c r="G1089" s="2" t="str">
        <f t="array" ref="G1089">IF(ISBLANK(D1089), "", INDEX(Categories!$B:$B,MATCH(D1089,Categories!$A:$A,0)))</f>
        <v>Supermarkets &amp; Super Stores</v>
      </c>
      <c r="H1089" s="7" t="str">
        <f t="array" ref="H1089">IF(ISBLANK(E1089), "", INDEX(Categories!$B:$B,MATCH(E1089,Categories!$A:$A,0)))</f>
        <v/>
      </c>
      <c r="I1089" s="7" t="str">
        <f t="array" ref="I1089">IF(ISBLANK(F1089), "", INDEX(Categories!$B:$B,MATCH(F1089,Categories!$A:$A,0)))</f>
        <v/>
      </c>
      <c r="J1089" s="4"/>
      <c r="K1089" s="4"/>
      <c r="L1089" s="4"/>
      <c r="M1089" s="4"/>
      <c r="N1089" s="4"/>
      <c r="O1089" s="4"/>
      <c r="P1089" s="4"/>
      <c r="Q1089" s="4"/>
    </row>
    <row r="1090">
      <c r="A1090" s="5">
        <v>1089.0</v>
      </c>
      <c r="B1090" s="5" t="s">
        <v>1442</v>
      </c>
      <c r="C1090" s="5" t="s">
        <v>1443</v>
      </c>
      <c r="D1090" s="6">
        <f>IFERROR(__xludf.DUMMYFUNCTION("SPLIT(MID(C1090,2,LEN(C1090)-2), "","")"),2396.0)</f>
        <v>2396</v>
      </c>
      <c r="E1090" s="7"/>
      <c r="F1090" s="7"/>
      <c r="G1090" s="2" t="str">
        <f t="array" ref="G1090">IF(ISBLANK(D1090), "", INDEX(Categories!$B:$B,MATCH(D1090,Categories!$A:$A,0)))</f>
        <v>Dental Equipment Repairing &amp; Refinishing</v>
      </c>
      <c r="H1090" s="7" t="str">
        <f t="array" ref="H1090">IF(ISBLANK(E1090), "", INDEX(Categories!$B:$B,MATCH(E1090,Categories!$A:$A,0)))</f>
        <v/>
      </c>
      <c r="I1090" s="7" t="str">
        <f t="array" ref="I1090">IF(ISBLANK(F1090), "", INDEX(Categories!$B:$B,MATCH(F1090,Categories!$A:$A,0)))</f>
        <v/>
      </c>
      <c r="J1090" s="4"/>
      <c r="K1090" s="4"/>
      <c r="L1090" s="4"/>
      <c r="M1090" s="4"/>
      <c r="N1090" s="4"/>
      <c r="O1090" s="4"/>
      <c r="P1090" s="4"/>
      <c r="Q1090" s="4"/>
    </row>
    <row r="1091">
      <c r="A1091" s="5">
        <v>1090.0</v>
      </c>
      <c r="B1091" s="5" t="s">
        <v>1444</v>
      </c>
      <c r="C1091" s="5" t="s">
        <v>1445</v>
      </c>
      <c r="D1091" s="6">
        <f>IFERROR(__xludf.DUMMYFUNCTION("SPLIT(MID(C1091,2,LEN(C1091)-2), "","")"),2650.0)</f>
        <v>2650</v>
      </c>
      <c r="E1091" s="7"/>
      <c r="F1091" s="7"/>
      <c r="G1091" s="2" t="str">
        <f t="array" ref="G1091">IF(ISBLANK(D1091), "", INDEX(Categories!$B:$B,MATCH(D1091,Categories!$A:$A,0)))</f>
        <v>Housewares Wholesale &amp; Manufacturers</v>
      </c>
      <c r="H1091" s="7" t="str">
        <f t="array" ref="H1091">IF(ISBLANK(E1091), "", INDEX(Categories!$B:$B,MATCH(E1091,Categories!$A:$A,0)))</f>
        <v/>
      </c>
      <c r="I1091" s="7" t="str">
        <f t="array" ref="I1091">IF(ISBLANK(F1091), "", INDEX(Categories!$B:$B,MATCH(F1091,Categories!$A:$A,0)))</f>
        <v/>
      </c>
      <c r="J1091" s="4"/>
      <c r="K1091" s="4"/>
      <c r="L1091" s="4"/>
      <c r="M1091" s="4"/>
      <c r="N1091" s="4"/>
      <c r="O1091" s="4"/>
      <c r="P1091" s="4"/>
      <c r="Q1091" s="4"/>
    </row>
    <row r="1092">
      <c r="A1092" s="5">
        <v>1091.0</v>
      </c>
      <c r="B1092" s="5" t="s">
        <v>1446</v>
      </c>
      <c r="C1092" s="5" t="s">
        <v>170</v>
      </c>
      <c r="D1092" s="6">
        <f>IFERROR(__xludf.DUMMYFUNCTION("SPLIT(MID(C1092,2,LEN(C1092)-2), "","")"),189.0)</f>
        <v>189</v>
      </c>
      <c r="E1092" s="7"/>
      <c r="F1092" s="7"/>
      <c r="G1092" s="2" t="str">
        <f t="array" ref="G1092">IF(ISBLANK(D1092), "", INDEX(Categories!$B:$B,MATCH(D1092,Categories!$A:$A,0)))</f>
        <v>Pharmacies</v>
      </c>
      <c r="H1092" s="7" t="str">
        <f t="array" ref="H1092">IF(ISBLANK(E1092), "", INDEX(Categories!$B:$B,MATCH(E1092,Categories!$A:$A,0)))</f>
        <v/>
      </c>
      <c r="I1092" s="7" t="str">
        <f t="array" ref="I1092">IF(ISBLANK(F1092), "", INDEX(Categories!$B:$B,MATCH(F1092,Categories!$A:$A,0)))</f>
        <v/>
      </c>
      <c r="J1092" s="4"/>
      <c r="K1092" s="4"/>
      <c r="L1092" s="4"/>
      <c r="M1092" s="4"/>
      <c r="N1092" s="4"/>
      <c r="O1092" s="4"/>
      <c r="P1092" s="4"/>
      <c r="Q1092" s="4"/>
    </row>
    <row r="1093">
      <c r="A1093" s="5">
        <v>1092.0</v>
      </c>
      <c r="B1093" s="5" t="s">
        <v>1447</v>
      </c>
      <c r="C1093" s="5" t="s">
        <v>87</v>
      </c>
      <c r="D1093" s="6">
        <f>IFERROR(__xludf.DUMMYFUNCTION("SPLIT(MID(C1093,2,LEN(C1093)-2), "","")"),168.0)</f>
        <v>168</v>
      </c>
      <c r="E1093" s="7"/>
      <c r="F1093" s="7"/>
      <c r="G1093" s="2" t="str">
        <f t="array" ref="G1093">IF(ISBLANK(D1093), "", INDEX(Categories!$B:$B,MATCH(D1093,Categories!$A:$A,0)))</f>
        <v>Hotels &amp; Motels</v>
      </c>
      <c r="H1093" s="7" t="str">
        <f t="array" ref="H1093">IF(ISBLANK(E1093), "", INDEX(Categories!$B:$B,MATCH(E1093,Categories!$A:$A,0)))</f>
        <v/>
      </c>
      <c r="I1093" s="7" t="str">
        <f t="array" ref="I1093">IF(ISBLANK(F1093), "", INDEX(Categories!$B:$B,MATCH(F1093,Categories!$A:$A,0)))</f>
        <v/>
      </c>
      <c r="J1093" s="4"/>
      <c r="K1093" s="4"/>
      <c r="L1093" s="4"/>
      <c r="M1093" s="4"/>
      <c r="N1093" s="4"/>
      <c r="O1093" s="4"/>
      <c r="P1093" s="4"/>
      <c r="Q1093" s="4"/>
    </row>
    <row r="1094">
      <c r="A1094" s="5">
        <v>1093.0</v>
      </c>
      <c r="B1094" s="5" t="s">
        <v>1448</v>
      </c>
      <c r="C1094" s="5" t="s">
        <v>1449</v>
      </c>
      <c r="D1094" s="6">
        <f>IFERROR(__xludf.DUMMYFUNCTION("SPLIT(MID(C1094,2,LEN(C1094)-2), "","")"),2909.0)</f>
        <v>2909</v>
      </c>
      <c r="E1094" s="7"/>
      <c r="F1094" s="7"/>
      <c r="G1094" s="2" t="str">
        <f t="array" ref="G1094">IF(ISBLANK(D1094), "", INDEX(Categories!$B:$B,MATCH(D1094,Categories!$A:$A,0)))</f>
        <v>Repair Services</v>
      </c>
      <c r="H1094" s="7" t="str">
        <f t="array" ref="H1094">IF(ISBLANK(E1094), "", INDEX(Categories!$B:$B,MATCH(E1094,Categories!$A:$A,0)))</f>
        <v/>
      </c>
      <c r="I1094" s="7" t="str">
        <f t="array" ref="I1094">IF(ISBLANK(F1094), "", INDEX(Categories!$B:$B,MATCH(F1094,Categories!$A:$A,0)))</f>
        <v/>
      </c>
      <c r="J1094" s="4"/>
      <c r="K1094" s="4"/>
      <c r="L1094" s="4"/>
      <c r="M1094" s="4"/>
      <c r="N1094" s="4"/>
      <c r="O1094" s="4"/>
      <c r="P1094" s="4"/>
      <c r="Q1094" s="4"/>
    </row>
    <row r="1095">
      <c r="A1095" s="5">
        <v>1094.0</v>
      </c>
      <c r="B1095" s="5" t="s">
        <v>1450</v>
      </c>
      <c r="C1095" s="5" t="s">
        <v>813</v>
      </c>
      <c r="D1095" s="6">
        <f>IFERROR(__xludf.DUMMYFUNCTION("SPLIT(MID(C1095,2,LEN(C1095)-2), "","")"),2429.0)</f>
        <v>2429</v>
      </c>
      <c r="E1095" s="7"/>
      <c r="F1095" s="7"/>
      <c r="G1095" s="2" t="str">
        <f t="array" ref="G1095">IF(ISBLANK(D1095), "", INDEX(Categories!$B:$B,MATCH(D1095,Categories!$A:$A,0)))</f>
        <v>Laundry Services</v>
      </c>
      <c r="H1095" s="7" t="str">
        <f t="array" ref="H1095">IF(ISBLANK(E1095), "", INDEX(Categories!$B:$B,MATCH(E1095,Categories!$A:$A,0)))</f>
        <v/>
      </c>
      <c r="I1095" s="7" t="str">
        <f t="array" ref="I1095">IF(ISBLANK(F1095), "", INDEX(Categories!$B:$B,MATCH(F1095,Categories!$A:$A,0)))</f>
        <v/>
      </c>
      <c r="J1095" s="4"/>
      <c r="K1095" s="4"/>
      <c r="L1095" s="4"/>
      <c r="M1095" s="4"/>
      <c r="N1095" s="4"/>
      <c r="O1095" s="4"/>
      <c r="P1095" s="4"/>
      <c r="Q1095" s="4"/>
    </row>
    <row r="1096">
      <c r="A1096" s="5">
        <v>1095.0</v>
      </c>
      <c r="B1096" s="5" t="s">
        <v>1451</v>
      </c>
      <c r="C1096" s="5" t="s">
        <v>1452</v>
      </c>
      <c r="D1096" s="6">
        <f>IFERROR(__xludf.DUMMYFUNCTION("SPLIT(MID(C1096,2,LEN(C1096)-2), "","")"),2550.0)</f>
        <v>2550</v>
      </c>
      <c r="E1096" s="7"/>
      <c r="F1096" s="7"/>
      <c r="G1096" s="2" t="str">
        <f t="array" ref="G1096">IF(ISBLANK(D1096), "", INDEX(Categories!$B:$B,MATCH(D1096,Categories!$A:$A,0)))</f>
        <v>Duct Cleaning</v>
      </c>
      <c r="H1096" s="7" t="str">
        <f t="array" ref="H1096">IF(ISBLANK(E1096), "", INDEX(Categories!$B:$B,MATCH(E1096,Categories!$A:$A,0)))</f>
        <v/>
      </c>
      <c r="I1096" s="7" t="str">
        <f t="array" ref="I1096">IF(ISBLANK(F1096), "", INDEX(Categories!$B:$B,MATCH(F1096,Categories!$A:$A,0)))</f>
        <v/>
      </c>
      <c r="J1096" s="4"/>
      <c r="K1096" s="4"/>
      <c r="L1096" s="4"/>
      <c r="M1096" s="4"/>
      <c r="N1096" s="4"/>
      <c r="O1096" s="4"/>
      <c r="P1096" s="4"/>
      <c r="Q1096" s="4"/>
    </row>
    <row r="1097">
      <c r="A1097" s="5">
        <v>1096.0</v>
      </c>
      <c r="B1097" s="5" t="s">
        <v>1453</v>
      </c>
      <c r="C1097" s="5" t="s">
        <v>1364</v>
      </c>
      <c r="D1097" s="6">
        <f>IFERROR(__xludf.DUMMYFUNCTION("SPLIT(MID(C1097,2,LEN(C1097)-2), "","")"),2543.0)</f>
        <v>2543</v>
      </c>
      <c r="E1097" s="7"/>
      <c r="F1097" s="7"/>
      <c r="G1097" s="2" t="str">
        <f t="array" ref="G1097">IF(ISBLANK(D1097), "", INDEX(Categories!$B:$B,MATCH(D1097,Categories!$A:$A,0)))</f>
        <v>Cleaning House &amp; Office</v>
      </c>
      <c r="H1097" s="7" t="str">
        <f t="array" ref="H1097">IF(ISBLANK(E1097), "", INDEX(Categories!$B:$B,MATCH(E1097,Categories!$A:$A,0)))</f>
        <v/>
      </c>
      <c r="I1097" s="7" t="str">
        <f t="array" ref="I1097">IF(ISBLANK(F1097), "", INDEX(Categories!$B:$B,MATCH(F1097,Categories!$A:$A,0)))</f>
        <v/>
      </c>
      <c r="J1097" s="4"/>
      <c r="K1097" s="4"/>
      <c r="L1097" s="4"/>
      <c r="M1097" s="4"/>
      <c r="N1097" s="4"/>
      <c r="O1097" s="4"/>
      <c r="P1097" s="4"/>
      <c r="Q1097" s="4"/>
    </row>
    <row r="1098">
      <c r="A1098" s="5">
        <v>1097.0</v>
      </c>
      <c r="B1098" s="5" t="s">
        <v>1454</v>
      </c>
      <c r="C1098" s="5" t="s">
        <v>38</v>
      </c>
      <c r="D1098" s="6">
        <f>IFERROR(__xludf.DUMMYFUNCTION("SPLIT(MID(C1098,2,LEN(C1098)-2), "","")"),933.0)</f>
        <v>933</v>
      </c>
      <c r="E1098" s="7"/>
      <c r="F1098" s="7"/>
      <c r="G1098" s="2" t="str">
        <f t="array" ref="G1098">IF(ISBLANK(D1098), "", INDEX(Categories!$B:$B,MATCH(D1098,Categories!$A:$A,0)))</f>
        <v>Loans &amp; Mortgages</v>
      </c>
      <c r="H1098" s="7" t="str">
        <f t="array" ref="H1098">IF(ISBLANK(E1098), "", INDEX(Categories!$B:$B,MATCH(E1098,Categories!$A:$A,0)))</f>
        <v/>
      </c>
      <c r="I1098" s="7" t="str">
        <f t="array" ref="I1098">IF(ISBLANK(F1098), "", INDEX(Categories!$B:$B,MATCH(F1098,Categories!$A:$A,0)))</f>
        <v/>
      </c>
      <c r="J1098" s="4"/>
      <c r="K1098" s="4"/>
      <c r="L1098" s="4"/>
      <c r="M1098" s="4"/>
      <c r="N1098" s="4"/>
      <c r="O1098" s="4"/>
      <c r="P1098" s="4"/>
      <c r="Q1098" s="4"/>
    </row>
    <row r="1099">
      <c r="A1099" s="5">
        <v>1098.0</v>
      </c>
      <c r="B1099" s="5" t="s">
        <v>1455</v>
      </c>
      <c r="C1099" s="5" t="s">
        <v>87</v>
      </c>
      <c r="D1099" s="6">
        <f>IFERROR(__xludf.DUMMYFUNCTION("SPLIT(MID(C1099,2,LEN(C1099)-2), "","")"),168.0)</f>
        <v>168</v>
      </c>
      <c r="E1099" s="7"/>
      <c r="F1099" s="7"/>
      <c r="G1099" s="2" t="str">
        <f t="array" ref="G1099">IF(ISBLANK(D1099), "", INDEX(Categories!$B:$B,MATCH(D1099,Categories!$A:$A,0)))</f>
        <v>Hotels &amp; Motels</v>
      </c>
      <c r="H1099" s="7" t="str">
        <f t="array" ref="H1099">IF(ISBLANK(E1099), "", INDEX(Categories!$B:$B,MATCH(E1099,Categories!$A:$A,0)))</f>
        <v/>
      </c>
      <c r="I1099" s="7" t="str">
        <f t="array" ref="I1099">IF(ISBLANK(F1099), "", INDEX(Categories!$B:$B,MATCH(F1099,Categories!$A:$A,0)))</f>
        <v/>
      </c>
      <c r="J1099" s="4"/>
      <c r="K1099" s="4"/>
      <c r="L1099" s="4"/>
      <c r="M1099" s="4"/>
      <c r="N1099" s="4"/>
      <c r="O1099" s="4"/>
      <c r="P1099" s="4"/>
      <c r="Q1099" s="4"/>
    </row>
    <row r="1100">
      <c r="A1100" s="5">
        <v>1099.0</v>
      </c>
      <c r="B1100" s="5" t="s">
        <v>1456</v>
      </c>
      <c r="C1100" s="5" t="s">
        <v>760</v>
      </c>
      <c r="D1100" s="6">
        <f>IFERROR(__xludf.DUMMYFUNCTION("SPLIT(MID(C1100,2,LEN(C1100)-2), "","")"),1246.0)</f>
        <v>1246</v>
      </c>
      <c r="E1100" s="7"/>
      <c r="F1100" s="7"/>
      <c r="G1100" s="2" t="str">
        <f t="array" ref="G1100">IF(ISBLANK(D1100), "", INDEX(Categories!$B:$B,MATCH(D1100,Categories!$A:$A,0)))</f>
        <v>Clothing</v>
      </c>
      <c r="H1100" s="7" t="str">
        <f t="array" ref="H1100">IF(ISBLANK(E1100), "", INDEX(Categories!$B:$B,MATCH(E1100,Categories!$A:$A,0)))</f>
        <v/>
      </c>
      <c r="I1100" s="7" t="str">
        <f t="array" ref="I1100">IF(ISBLANK(F1100), "", INDEX(Categories!$B:$B,MATCH(F1100,Categories!$A:$A,0)))</f>
        <v/>
      </c>
      <c r="J1100" s="4"/>
      <c r="K1100" s="4"/>
      <c r="L1100" s="4"/>
      <c r="M1100" s="4"/>
      <c r="N1100" s="4"/>
      <c r="O1100" s="4"/>
      <c r="P1100" s="4"/>
      <c r="Q1100" s="4"/>
    </row>
    <row r="1101">
      <c r="A1101" s="5">
        <v>1100.0</v>
      </c>
      <c r="B1101" s="5" t="s">
        <v>1457</v>
      </c>
      <c r="C1101" s="5" t="s">
        <v>246</v>
      </c>
      <c r="D1101" s="6">
        <f>IFERROR(__xludf.DUMMYFUNCTION("SPLIT(MID(C1101,2,LEN(C1101)-2), "","")"),1587.0)</f>
        <v>1587</v>
      </c>
      <c r="E1101" s="7"/>
      <c r="F1101" s="7"/>
      <c r="G1101" s="2" t="str">
        <f t="array" ref="G1101">IF(ISBLANK(D1101), "", INDEX(Categories!$B:$B,MATCH(D1101,Categories!$A:$A,0)))</f>
        <v>Educational Services</v>
      </c>
      <c r="H1101" s="7" t="str">
        <f t="array" ref="H1101">IF(ISBLANK(E1101), "", INDEX(Categories!$B:$B,MATCH(E1101,Categories!$A:$A,0)))</f>
        <v/>
      </c>
      <c r="I1101" s="7" t="str">
        <f t="array" ref="I1101">IF(ISBLANK(F1101), "", INDEX(Categories!$B:$B,MATCH(F1101,Categories!$A:$A,0)))</f>
        <v/>
      </c>
      <c r="J1101" s="4"/>
      <c r="K1101" s="4"/>
      <c r="L1101" s="4"/>
      <c r="M1101" s="4"/>
      <c r="N1101" s="4"/>
      <c r="O1101" s="4"/>
      <c r="P1101" s="4"/>
      <c r="Q1101" s="4"/>
    </row>
    <row r="1102">
      <c r="A1102" s="5">
        <v>1101.0</v>
      </c>
      <c r="B1102" s="5" t="s">
        <v>1458</v>
      </c>
      <c r="C1102" s="5" t="s">
        <v>1382</v>
      </c>
      <c r="D1102" s="6">
        <f>IFERROR(__xludf.DUMMYFUNCTION("SPLIT(MID(C1102,2,LEN(C1102)-2), "","")"),2758.0)</f>
        <v>2758</v>
      </c>
      <c r="E1102" s="7"/>
      <c r="F1102" s="7"/>
      <c r="G1102" s="2" t="str">
        <f t="array" ref="G1102">IF(ISBLANK(D1102), "", INDEX(Categories!$B:$B,MATCH(D1102,Categories!$A:$A,0)))</f>
        <v>Business Consultants</v>
      </c>
      <c r="H1102" s="7" t="str">
        <f t="array" ref="H1102">IF(ISBLANK(E1102), "", INDEX(Categories!$B:$B,MATCH(E1102,Categories!$A:$A,0)))</f>
        <v/>
      </c>
      <c r="I1102" s="7" t="str">
        <f t="array" ref="I1102">IF(ISBLANK(F1102), "", INDEX(Categories!$B:$B,MATCH(F1102,Categories!$A:$A,0)))</f>
        <v/>
      </c>
      <c r="J1102" s="4"/>
      <c r="K1102" s="4"/>
      <c r="L1102" s="4"/>
      <c r="M1102" s="4"/>
      <c r="N1102" s="4"/>
      <c r="O1102" s="4"/>
      <c r="P1102" s="4"/>
      <c r="Q1102" s="4"/>
    </row>
    <row r="1103">
      <c r="A1103" s="5">
        <v>1102.0</v>
      </c>
      <c r="B1103" s="5" t="s">
        <v>1459</v>
      </c>
      <c r="C1103" s="5" t="s">
        <v>170</v>
      </c>
      <c r="D1103" s="6">
        <f>IFERROR(__xludf.DUMMYFUNCTION("SPLIT(MID(C1103,2,LEN(C1103)-2), "","")"),189.0)</f>
        <v>189</v>
      </c>
      <c r="E1103" s="7"/>
      <c r="F1103" s="7"/>
      <c r="G1103" s="2" t="str">
        <f t="array" ref="G1103">IF(ISBLANK(D1103), "", INDEX(Categories!$B:$B,MATCH(D1103,Categories!$A:$A,0)))</f>
        <v>Pharmacies</v>
      </c>
      <c r="H1103" s="7" t="str">
        <f t="array" ref="H1103">IF(ISBLANK(E1103), "", INDEX(Categories!$B:$B,MATCH(E1103,Categories!$A:$A,0)))</f>
        <v/>
      </c>
      <c r="I1103" s="7" t="str">
        <f t="array" ref="I1103">IF(ISBLANK(F1103), "", INDEX(Categories!$B:$B,MATCH(F1103,Categories!$A:$A,0)))</f>
        <v/>
      </c>
      <c r="J1103" s="4"/>
      <c r="K1103" s="4"/>
      <c r="L1103" s="4"/>
      <c r="M1103" s="4"/>
      <c r="N1103" s="4"/>
      <c r="O1103" s="4"/>
      <c r="P1103" s="4"/>
      <c r="Q1103" s="4"/>
    </row>
    <row r="1104">
      <c r="A1104" s="5">
        <v>1103.0</v>
      </c>
      <c r="B1104" s="5" t="s">
        <v>1460</v>
      </c>
      <c r="C1104" s="5" t="s">
        <v>18</v>
      </c>
      <c r="D1104" s="6">
        <f>IFERROR(__xludf.DUMMYFUNCTION("SPLIT(MID(C1104,2,LEN(C1104)-2), "","")"),121.0)</f>
        <v>121</v>
      </c>
      <c r="E1104" s="7"/>
      <c r="F1104" s="7"/>
      <c r="G1104" s="2" t="str">
        <f t="array" ref="G1104">IF(ISBLANK(D1104), "", INDEX(Categories!$B:$B,MATCH(D1104,Categories!$A:$A,0)))</f>
        <v>Insurance</v>
      </c>
      <c r="H1104" s="7" t="str">
        <f t="array" ref="H1104">IF(ISBLANK(E1104), "", INDEX(Categories!$B:$B,MATCH(E1104,Categories!$A:$A,0)))</f>
        <v/>
      </c>
      <c r="I1104" s="7" t="str">
        <f t="array" ref="I1104">IF(ISBLANK(F1104), "", INDEX(Categories!$B:$B,MATCH(F1104,Categories!$A:$A,0)))</f>
        <v/>
      </c>
      <c r="J1104" s="4"/>
      <c r="K1104" s="4"/>
      <c r="L1104" s="4"/>
      <c r="M1104" s="4"/>
      <c r="N1104" s="4"/>
      <c r="O1104" s="4"/>
      <c r="P1104" s="4"/>
      <c r="Q1104" s="4"/>
    </row>
    <row r="1105">
      <c r="A1105" s="5">
        <v>1104.0</v>
      </c>
      <c r="B1105" s="5" t="s">
        <v>1461</v>
      </c>
      <c r="C1105" s="5" t="s">
        <v>1257</v>
      </c>
      <c r="D1105" s="6">
        <f>IFERROR(__xludf.DUMMYFUNCTION("SPLIT(MID(C1105,2,LEN(C1105)-2), "","")"),2629.0)</f>
        <v>2629</v>
      </c>
      <c r="E1105" s="7"/>
      <c r="F1105" s="7"/>
      <c r="G1105" s="2" t="str">
        <f t="array" ref="G1105">IF(ISBLANK(D1105), "", INDEX(Categories!$B:$B,MATCH(D1105,Categories!$A:$A,0)))</f>
        <v>Tanning Salons</v>
      </c>
      <c r="H1105" s="7" t="str">
        <f t="array" ref="H1105">IF(ISBLANK(E1105), "", INDEX(Categories!$B:$B,MATCH(E1105,Categories!$A:$A,0)))</f>
        <v/>
      </c>
      <c r="I1105" s="7" t="str">
        <f t="array" ref="I1105">IF(ISBLANK(F1105), "", INDEX(Categories!$B:$B,MATCH(F1105,Categories!$A:$A,0)))</f>
        <v/>
      </c>
      <c r="J1105" s="4"/>
      <c r="K1105" s="4"/>
      <c r="L1105" s="4"/>
      <c r="M1105" s="4"/>
      <c r="N1105" s="4"/>
      <c r="O1105" s="4"/>
      <c r="P1105" s="4"/>
      <c r="Q1105" s="4"/>
    </row>
    <row r="1106">
      <c r="A1106" s="5">
        <v>1105.0</v>
      </c>
      <c r="B1106" s="5" t="s">
        <v>1462</v>
      </c>
      <c r="C1106" s="5" t="s">
        <v>1463</v>
      </c>
      <c r="D1106" s="6">
        <f>IFERROR(__xludf.DUMMYFUNCTION("SPLIT(MID(C1106,2,LEN(C1106)-2), "","")"),629.0)</f>
        <v>629</v>
      </c>
      <c r="E1106" s="7"/>
      <c r="F1106" s="7"/>
      <c r="G1106" s="2" t="str">
        <f t="array" ref="G1106">IF(ISBLANK(D1106), "", INDEX(Categories!$B:$B,MATCH(D1106,Categories!$A:$A,0)))</f>
        <v>Jewelry Repair</v>
      </c>
      <c r="H1106" s="7" t="str">
        <f t="array" ref="H1106">IF(ISBLANK(E1106), "", INDEX(Categories!$B:$B,MATCH(E1106,Categories!$A:$A,0)))</f>
        <v/>
      </c>
      <c r="I1106" s="7" t="str">
        <f t="array" ref="I1106">IF(ISBLANK(F1106), "", INDEX(Categories!$B:$B,MATCH(F1106,Categories!$A:$A,0)))</f>
        <v/>
      </c>
      <c r="J1106" s="4"/>
      <c r="K1106" s="4"/>
      <c r="L1106" s="4"/>
      <c r="M1106" s="4"/>
      <c r="N1106" s="4"/>
      <c r="O1106" s="4"/>
      <c r="P1106" s="4"/>
      <c r="Q1106" s="4"/>
    </row>
    <row r="1107">
      <c r="A1107" s="5">
        <v>1106.0</v>
      </c>
      <c r="B1107" s="5" t="s">
        <v>1464</v>
      </c>
      <c r="C1107" s="5" t="s">
        <v>1465</v>
      </c>
      <c r="D1107" s="6">
        <f>IFERROR(__xludf.DUMMYFUNCTION("SPLIT(MID(C1107,2,LEN(C1107)-2), "","")"),2657.0)</f>
        <v>2657</v>
      </c>
      <c r="E1107" s="7"/>
      <c r="F1107" s="7"/>
      <c r="G1107" s="2" t="str">
        <f t="array" ref="G1107">IF(ISBLANK(D1107), "", INDEX(Categories!$B:$B,MATCH(D1107,Categories!$A:$A,0)))</f>
        <v>Picture Framing</v>
      </c>
      <c r="H1107" s="7" t="str">
        <f t="array" ref="H1107">IF(ISBLANK(E1107), "", INDEX(Categories!$B:$B,MATCH(E1107,Categories!$A:$A,0)))</f>
        <v/>
      </c>
      <c r="I1107" s="7" t="str">
        <f t="array" ref="I1107">IF(ISBLANK(F1107), "", INDEX(Categories!$B:$B,MATCH(F1107,Categories!$A:$A,0)))</f>
        <v/>
      </c>
      <c r="J1107" s="4"/>
      <c r="K1107" s="4"/>
      <c r="L1107" s="4"/>
      <c r="M1107" s="4"/>
      <c r="N1107" s="4"/>
      <c r="O1107" s="4"/>
      <c r="P1107" s="4"/>
      <c r="Q1107" s="4"/>
    </row>
    <row r="1108">
      <c r="A1108" s="5">
        <v>1107.0</v>
      </c>
      <c r="B1108" s="5" t="s">
        <v>1466</v>
      </c>
      <c r="C1108" s="5" t="s">
        <v>62</v>
      </c>
      <c r="D1108" s="6">
        <f>IFERROR(__xludf.DUMMYFUNCTION("SPLIT(MID(C1108,2,LEN(C1108)-2), "","")"),242.0)</f>
        <v>242</v>
      </c>
      <c r="E1108" s="7"/>
      <c r="F1108" s="7"/>
      <c r="G1108" s="2" t="str">
        <f t="array" ref="G1108">IF(ISBLANK(D1108), "", INDEX(Categories!$B:$B,MATCH(D1108,Categories!$A:$A,0)))</f>
        <v>Restaurants Pizza</v>
      </c>
      <c r="H1108" s="7" t="str">
        <f t="array" ref="H1108">IF(ISBLANK(E1108), "", INDEX(Categories!$B:$B,MATCH(E1108,Categories!$A:$A,0)))</f>
        <v/>
      </c>
      <c r="I1108" s="7" t="str">
        <f t="array" ref="I1108">IF(ISBLANK(F1108), "", INDEX(Categories!$B:$B,MATCH(F1108,Categories!$A:$A,0)))</f>
        <v/>
      </c>
      <c r="J1108" s="4"/>
      <c r="K1108" s="4"/>
      <c r="L1108" s="4"/>
      <c r="M1108" s="4"/>
      <c r="N1108" s="4"/>
      <c r="O1108" s="4"/>
      <c r="P1108" s="4"/>
      <c r="Q1108" s="4"/>
    </row>
    <row r="1109">
      <c r="A1109" s="5">
        <v>1108.0</v>
      </c>
      <c r="B1109" s="5" t="s">
        <v>1467</v>
      </c>
      <c r="C1109" s="5" t="s">
        <v>51</v>
      </c>
      <c r="D1109" s="6">
        <f>IFERROR(__xludf.DUMMYFUNCTION("SPLIT(MID(C1109,2,LEN(C1109)-2), "","")"),608.0)</f>
        <v>608</v>
      </c>
      <c r="E1109" s="7"/>
      <c r="F1109" s="7"/>
      <c r="G1109" s="2" t="str">
        <f t="array" ref="G1109">IF(ISBLANK(D1109), "", INDEX(Categories!$B:$B,MATCH(D1109,Categories!$A:$A,0)))</f>
        <v>Sandwiches</v>
      </c>
      <c r="H1109" s="7" t="str">
        <f t="array" ref="H1109">IF(ISBLANK(E1109), "", INDEX(Categories!$B:$B,MATCH(E1109,Categories!$A:$A,0)))</f>
        <v/>
      </c>
      <c r="I1109" s="7" t="str">
        <f t="array" ref="I1109">IF(ISBLANK(F1109), "", INDEX(Categories!$B:$B,MATCH(F1109,Categories!$A:$A,0)))</f>
        <v/>
      </c>
      <c r="J1109" s="4"/>
      <c r="K1109" s="4"/>
      <c r="L1109" s="4"/>
      <c r="M1109" s="4"/>
      <c r="N1109" s="4"/>
      <c r="O1109" s="4"/>
      <c r="P1109" s="4"/>
      <c r="Q1109" s="4"/>
    </row>
    <row r="1110">
      <c r="A1110" s="5">
        <v>1109.0</v>
      </c>
      <c r="B1110" s="5" t="s">
        <v>1468</v>
      </c>
      <c r="C1110" s="5" t="s">
        <v>1469</v>
      </c>
      <c r="D1110" s="6">
        <f>IFERROR(__xludf.DUMMYFUNCTION("SPLIT(MID(C1110,2,LEN(C1110)-2), "","")"),1104.0)</f>
        <v>1104</v>
      </c>
      <c r="E1110" s="7"/>
      <c r="F1110" s="7"/>
      <c r="G1110" s="2" t="str">
        <f t="array" ref="G1110">IF(ISBLANK(D1110), "", INDEX(Categories!$B:$B,MATCH(D1110,Categories!$A:$A,0)))</f>
        <v>Taverns</v>
      </c>
      <c r="H1110" s="7" t="str">
        <f t="array" ref="H1110">IF(ISBLANK(E1110), "", INDEX(Categories!$B:$B,MATCH(E1110,Categories!$A:$A,0)))</f>
        <v/>
      </c>
      <c r="I1110" s="7" t="str">
        <f t="array" ref="I1110">IF(ISBLANK(F1110), "", INDEX(Categories!$B:$B,MATCH(F1110,Categories!$A:$A,0)))</f>
        <v/>
      </c>
      <c r="J1110" s="4"/>
      <c r="K1110" s="4"/>
      <c r="L1110" s="4"/>
      <c r="M1110" s="4"/>
      <c r="N1110" s="4"/>
      <c r="O1110" s="4"/>
      <c r="P1110" s="4"/>
      <c r="Q1110" s="4"/>
    </row>
    <row r="1111">
      <c r="A1111" s="5">
        <v>1110.0</v>
      </c>
      <c r="B1111" s="5" t="s">
        <v>1470</v>
      </c>
      <c r="C1111" s="5" t="s">
        <v>69</v>
      </c>
      <c r="D1111" s="6">
        <f>IFERROR(__xludf.DUMMYFUNCTION("SPLIT(MID(C1111,2,LEN(C1111)-2), "","")"),293.0)</f>
        <v>293</v>
      </c>
      <c r="E1111" s="7"/>
      <c r="F1111" s="7"/>
      <c r="G1111" s="2" t="str">
        <f t="array" ref="G1111">IF(ISBLANK(D1111), "", INDEX(Categories!$B:$B,MATCH(D1111,Categories!$A:$A,0)))</f>
        <v>Banks Commercial</v>
      </c>
      <c r="H1111" s="7" t="str">
        <f t="array" ref="H1111">IF(ISBLANK(E1111), "", INDEX(Categories!$B:$B,MATCH(E1111,Categories!$A:$A,0)))</f>
        <v/>
      </c>
      <c r="I1111" s="7" t="str">
        <f t="array" ref="I1111">IF(ISBLANK(F1111), "", INDEX(Categories!$B:$B,MATCH(F1111,Categories!$A:$A,0)))</f>
        <v/>
      </c>
      <c r="J1111" s="4"/>
      <c r="K1111" s="4"/>
      <c r="L1111" s="4"/>
      <c r="M1111" s="4"/>
      <c r="N1111" s="4"/>
      <c r="O1111" s="4"/>
      <c r="P1111" s="4"/>
      <c r="Q1111" s="4"/>
    </row>
    <row r="1112">
      <c r="A1112" s="5">
        <v>1111.0</v>
      </c>
      <c r="B1112" s="5" t="s">
        <v>1471</v>
      </c>
      <c r="C1112" s="5" t="s">
        <v>309</v>
      </c>
      <c r="D1112" s="6">
        <f>IFERROR(__xludf.DUMMYFUNCTION("SPLIT(MID(C1112,2,LEN(C1112)-2), "","")"),458.0)</f>
        <v>458</v>
      </c>
      <c r="E1112" s="7"/>
      <c r="F1112" s="7"/>
      <c r="G1112" s="2" t="str">
        <f t="array" ref="G1112">IF(ISBLANK(D1112), "", INDEX(Categories!$B:$B,MATCH(D1112,Categories!$A:$A,0)))</f>
        <v>Real Estate - Brokers &amp; Agents</v>
      </c>
      <c r="H1112" s="7" t="str">
        <f t="array" ref="H1112">IF(ISBLANK(E1112), "", INDEX(Categories!$B:$B,MATCH(E1112,Categories!$A:$A,0)))</f>
        <v/>
      </c>
      <c r="I1112" s="7" t="str">
        <f t="array" ref="I1112">IF(ISBLANK(F1112), "", INDEX(Categories!$B:$B,MATCH(F1112,Categories!$A:$A,0)))</f>
        <v/>
      </c>
      <c r="J1112" s="4"/>
      <c r="K1112" s="4"/>
      <c r="L1112" s="4"/>
      <c r="M1112" s="4"/>
      <c r="N1112" s="4"/>
      <c r="O1112" s="4"/>
      <c r="P1112" s="4"/>
      <c r="Q1112" s="4"/>
    </row>
    <row r="1113">
      <c r="A1113" s="5">
        <v>1112.0</v>
      </c>
      <c r="B1113" s="5" t="s">
        <v>1472</v>
      </c>
      <c r="C1113" s="5" t="s">
        <v>1473</v>
      </c>
      <c r="D1113" s="6">
        <f>IFERROR(__xludf.DUMMYFUNCTION("SPLIT(MID(C1113,2,LEN(C1113)-2), "","")"),743.0)</f>
        <v>743</v>
      </c>
      <c r="E1113" s="7"/>
      <c r="F1113" s="7"/>
      <c r="G1113" s="2" t="str">
        <f t="array" ref="G1113">IF(ISBLANK(D1113), "", INDEX(Categories!$B:$B,MATCH(D1113,Categories!$A:$A,0)))</f>
        <v>Shoes Orthopedic Dealers</v>
      </c>
      <c r="H1113" s="7" t="str">
        <f t="array" ref="H1113">IF(ISBLANK(E1113), "", INDEX(Categories!$B:$B,MATCH(E1113,Categories!$A:$A,0)))</f>
        <v/>
      </c>
      <c r="I1113" s="7" t="str">
        <f t="array" ref="I1113">IF(ISBLANK(F1113), "", INDEX(Categories!$B:$B,MATCH(F1113,Categories!$A:$A,0)))</f>
        <v/>
      </c>
      <c r="J1113" s="4"/>
      <c r="K1113" s="4"/>
      <c r="L1113" s="4"/>
      <c r="M1113" s="4"/>
      <c r="N1113" s="4"/>
      <c r="O1113" s="4"/>
      <c r="P1113" s="4"/>
      <c r="Q1113" s="4"/>
    </row>
    <row r="1114">
      <c r="A1114" s="5">
        <v>1113.0</v>
      </c>
      <c r="B1114" s="5" t="s">
        <v>1474</v>
      </c>
      <c r="C1114" s="5" t="s">
        <v>60</v>
      </c>
      <c r="D1114" s="6">
        <f>IFERROR(__xludf.DUMMYFUNCTION("SPLIT(MID(C1114,2,LEN(C1114)-2), "","")"),240.0)</f>
        <v>240</v>
      </c>
      <c r="E1114" s="7"/>
      <c r="F1114" s="7"/>
      <c r="G1114" s="2" t="str">
        <f t="array" ref="G1114">IF(ISBLANK(D1114), "", INDEX(Categories!$B:$B,MATCH(D1114,Categories!$A:$A,0)))</f>
        <v>Restaurants Fast Food</v>
      </c>
      <c r="H1114" s="7" t="str">
        <f t="array" ref="H1114">IF(ISBLANK(E1114), "", INDEX(Categories!$B:$B,MATCH(E1114,Categories!$A:$A,0)))</f>
        <v/>
      </c>
      <c r="I1114" s="7" t="str">
        <f t="array" ref="I1114">IF(ISBLANK(F1114), "", INDEX(Categories!$B:$B,MATCH(F1114,Categories!$A:$A,0)))</f>
        <v/>
      </c>
      <c r="J1114" s="4"/>
      <c r="K1114" s="4"/>
      <c r="L1114" s="4"/>
      <c r="M1114" s="4"/>
      <c r="N1114" s="4"/>
      <c r="O1114" s="4"/>
      <c r="P1114" s="4"/>
      <c r="Q1114" s="4"/>
    </row>
    <row r="1115">
      <c r="A1115" s="5">
        <v>1114.0</v>
      </c>
      <c r="B1115" s="5" t="s">
        <v>1475</v>
      </c>
      <c r="C1115" s="5" t="s">
        <v>1476</v>
      </c>
      <c r="D1115" s="6">
        <f>IFERROR(__xludf.DUMMYFUNCTION("SPLIT(MID(C1115,2,LEN(C1115)-2), "","")"),1511.0)</f>
        <v>1511</v>
      </c>
      <c r="E1115" s="7"/>
      <c r="F1115" s="7"/>
      <c r="G1115" s="2" t="str">
        <f t="array" ref="G1115">IF(ISBLANK(D1115), "", INDEX(Categories!$B:$B,MATCH(D1115,Categories!$A:$A,0)))</f>
        <v>Tobacco Products</v>
      </c>
      <c r="H1115" s="7" t="str">
        <f t="array" ref="H1115">IF(ISBLANK(E1115), "", INDEX(Categories!$B:$B,MATCH(E1115,Categories!$A:$A,0)))</f>
        <v/>
      </c>
      <c r="I1115" s="7" t="str">
        <f t="array" ref="I1115">IF(ISBLANK(F1115), "", INDEX(Categories!$B:$B,MATCH(F1115,Categories!$A:$A,0)))</f>
        <v/>
      </c>
      <c r="J1115" s="4"/>
      <c r="K1115" s="4"/>
      <c r="L1115" s="4"/>
      <c r="M1115" s="4"/>
      <c r="N1115" s="4"/>
      <c r="O1115" s="4"/>
      <c r="P1115" s="4"/>
      <c r="Q1115" s="4"/>
    </row>
    <row r="1116">
      <c r="A1116" s="5">
        <v>1115.0</v>
      </c>
      <c r="B1116" s="5" t="s">
        <v>1477</v>
      </c>
      <c r="C1116" s="5" t="s">
        <v>1478</v>
      </c>
      <c r="D1116" s="6">
        <f>IFERROR(__xludf.DUMMYFUNCTION("SPLIT(MID(C1116,2,LEN(C1116)-2), "","")"),1990.0)</f>
        <v>1990</v>
      </c>
      <c r="E1116" s="7"/>
      <c r="F1116" s="7"/>
      <c r="G1116" s="2" t="str">
        <f t="array" ref="G1116">IF(ISBLANK(D1116), "", INDEX(Categories!$B:$B,MATCH(D1116,Categories!$A:$A,0)))</f>
        <v>Schools Private</v>
      </c>
      <c r="H1116" s="7" t="str">
        <f t="array" ref="H1116">IF(ISBLANK(E1116), "", INDEX(Categories!$B:$B,MATCH(E1116,Categories!$A:$A,0)))</f>
        <v/>
      </c>
      <c r="I1116" s="7" t="str">
        <f t="array" ref="I1116">IF(ISBLANK(F1116), "", INDEX(Categories!$B:$B,MATCH(F1116,Categories!$A:$A,0)))</f>
        <v/>
      </c>
      <c r="J1116" s="4"/>
      <c r="K1116" s="4"/>
      <c r="L1116" s="4"/>
      <c r="M1116" s="4"/>
      <c r="N1116" s="4"/>
      <c r="O1116" s="4"/>
      <c r="P1116" s="4"/>
      <c r="Q1116" s="4"/>
    </row>
    <row r="1117">
      <c r="A1117" s="5">
        <v>1116.0</v>
      </c>
      <c r="B1117" s="5" t="s">
        <v>1479</v>
      </c>
      <c r="C1117" s="5" t="s">
        <v>1480</v>
      </c>
      <c r="D1117" s="6">
        <f>IFERROR(__xludf.DUMMYFUNCTION("SPLIT(MID(C1117,2,LEN(C1117)-2), "","")"),328.0)</f>
        <v>328</v>
      </c>
      <c r="E1117" s="7"/>
      <c r="F1117" s="7"/>
      <c r="G1117" s="2" t="str">
        <f t="array" ref="G1117">IF(ISBLANK(D1117), "", INDEX(Categories!$B:$B,MATCH(D1117,Categories!$A:$A,0)))</f>
        <v>Golf Equipment &amp; Supplies</v>
      </c>
      <c r="H1117" s="7" t="str">
        <f t="array" ref="H1117">IF(ISBLANK(E1117), "", INDEX(Categories!$B:$B,MATCH(E1117,Categories!$A:$A,0)))</f>
        <v/>
      </c>
      <c r="I1117" s="7" t="str">
        <f t="array" ref="I1117">IF(ISBLANK(F1117), "", INDEX(Categories!$B:$B,MATCH(F1117,Categories!$A:$A,0)))</f>
        <v/>
      </c>
      <c r="J1117" s="4"/>
      <c r="K1117" s="4"/>
      <c r="L1117" s="4"/>
      <c r="M1117" s="4"/>
      <c r="N1117" s="4"/>
      <c r="O1117" s="4"/>
      <c r="P1117" s="4"/>
      <c r="Q1117" s="4"/>
    </row>
    <row r="1118">
      <c r="A1118" s="5">
        <v>1117.0</v>
      </c>
      <c r="B1118" s="5" t="s">
        <v>1481</v>
      </c>
      <c r="C1118" s="5" t="s">
        <v>1480</v>
      </c>
      <c r="D1118" s="6">
        <f>IFERROR(__xludf.DUMMYFUNCTION("SPLIT(MID(C1118,2,LEN(C1118)-2), "","")"),328.0)</f>
        <v>328</v>
      </c>
      <c r="E1118" s="7"/>
      <c r="F1118" s="7"/>
      <c r="G1118" s="2" t="str">
        <f t="array" ref="G1118">IF(ISBLANK(D1118), "", INDEX(Categories!$B:$B,MATCH(D1118,Categories!$A:$A,0)))</f>
        <v>Golf Equipment &amp; Supplies</v>
      </c>
      <c r="H1118" s="7" t="str">
        <f t="array" ref="H1118">IF(ISBLANK(E1118), "", INDEX(Categories!$B:$B,MATCH(E1118,Categories!$A:$A,0)))</f>
        <v/>
      </c>
      <c r="I1118" s="7" t="str">
        <f t="array" ref="I1118">IF(ISBLANK(F1118), "", INDEX(Categories!$B:$B,MATCH(F1118,Categories!$A:$A,0)))</f>
        <v/>
      </c>
      <c r="J1118" s="4"/>
      <c r="K1118" s="4"/>
      <c r="L1118" s="4"/>
      <c r="M1118" s="4"/>
      <c r="N1118" s="4"/>
      <c r="O1118" s="4"/>
      <c r="P1118" s="4"/>
      <c r="Q1118" s="4"/>
    </row>
    <row r="1119">
      <c r="A1119" s="5">
        <v>1118.0</v>
      </c>
      <c r="B1119" s="5" t="s">
        <v>1482</v>
      </c>
      <c r="C1119" s="5" t="s">
        <v>1465</v>
      </c>
      <c r="D1119" s="6">
        <f>IFERROR(__xludf.DUMMYFUNCTION("SPLIT(MID(C1119,2,LEN(C1119)-2), "","")"),2657.0)</f>
        <v>2657</v>
      </c>
      <c r="E1119" s="7"/>
      <c r="F1119" s="7"/>
      <c r="G1119" s="2" t="str">
        <f t="array" ref="G1119">IF(ISBLANK(D1119), "", INDEX(Categories!$B:$B,MATCH(D1119,Categories!$A:$A,0)))</f>
        <v>Picture Framing</v>
      </c>
      <c r="H1119" s="7" t="str">
        <f t="array" ref="H1119">IF(ISBLANK(E1119), "", INDEX(Categories!$B:$B,MATCH(E1119,Categories!$A:$A,0)))</f>
        <v/>
      </c>
      <c r="I1119" s="7" t="str">
        <f t="array" ref="I1119">IF(ISBLANK(F1119), "", INDEX(Categories!$B:$B,MATCH(F1119,Categories!$A:$A,0)))</f>
        <v/>
      </c>
      <c r="J1119" s="4"/>
      <c r="K1119" s="4"/>
      <c r="L1119" s="4"/>
      <c r="M1119" s="4"/>
      <c r="N1119" s="4"/>
      <c r="O1119" s="4"/>
      <c r="P1119" s="4"/>
      <c r="Q1119" s="4"/>
    </row>
    <row r="1120">
      <c r="A1120" s="5">
        <v>1119.0</v>
      </c>
      <c r="B1120" s="5" t="s">
        <v>1483</v>
      </c>
      <c r="C1120" s="5" t="s">
        <v>1484</v>
      </c>
      <c r="D1120" s="6">
        <f>IFERROR(__xludf.DUMMYFUNCTION("SPLIT(MID(C1120,2,LEN(C1120)-2), "","")"),613.0)</f>
        <v>613</v>
      </c>
      <c r="E1120" s="7"/>
      <c r="F1120" s="7"/>
      <c r="G1120" s="2" t="str">
        <f t="array" ref="G1120">IF(ISBLANK(D1120), "", INDEX(Categories!$B:$B,MATCH(D1120,Categories!$A:$A,0)))</f>
        <v>Contractors - Roofing</v>
      </c>
      <c r="H1120" s="7" t="str">
        <f t="array" ref="H1120">IF(ISBLANK(E1120), "", INDEX(Categories!$B:$B,MATCH(E1120,Categories!$A:$A,0)))</f>
        <v/>
      </c>
      <c r="I1120" s="7" t="str">
        <f t="array" ref="I1120">IF(ISBLANK(F1120), "", INDEX(Categories!$B:$B,MATCH(F1120,Categories!$A:$A,0)))</f>
        <v/>
      </c>
      <c r="J1120" s="4"/>
      <c r="K1120" s="4"/>
      <c r="L1120" s="4"/>
      <c r="M1120" s="4"/>
      <c r="N1120" s="4"/>
      <c r="O1120" s="4"/>
      <c r="P1120" s="4"/>
      <c r="Q1120" s="4"/>
    </row>
    <row r="1121">
      <c r="A1121" s="5">
        <v>1120.0</v>
      </c>
      <c r="B1121" s="5" t="s">
        <v>1485</v>
      </c>
      <c r="C1121" s="5" t="s">
        <v>96</v>
      </c>
      <c r="D1121" s="6">
        <f>IFERROR(__xludf.DUMMYFUNCTION("SPLIT(MID(C1121,2,LEN(C1121)-2), "","")"),572.0)</f>
        <v>572</v>
      </c>
      <c r="E1121" s="7"/>
      <c r="F1121" s="7"/>
      <c r="G1121" s="2" t="str">
        <f t="array" ref="G1121">IF(ISBLANK(D1121), "", INDEX(Categories!$B:$B,MATCH(D1121,Categories!$A:$A,0)))</f>
        <v>Groceries</v>
      </c>
      <c r="H1121" s="7" t="str">
        <f t="array" ref="H1121">IF(ISBLANK(E1121), "", INDEX(Categories!$B:$B,MATCH(E1121,Categories!$A:$A,0)))</f>
        <v/>
      </c>
      <c r="I1121" s="7" t="str">
        <f t="array" ref="I1121">IF(ISBLANK(F1121), "", INDEX(Categories!$B:$B,MATCH(F1121,Categories!$A:$A,0)))</f>
        <v/>
      </c>
      <c r="J1121" s="4"/>
      <c r="K1121" s="4"/>
      <c r="L1121" s="4"/>
      <c r="M1121" s="4"/>
      <c r="N1121" s="4"/>
      <c r="O1121" s="4"/>
      <c r="P1121" s="4"/>
      <c r="Q1121" s="4"/>
    </row>
    <row r="1122">
      <c r="A1122" s="5">
        <v>1121.0</v>
      </c>
      <c r="B1122" s="5" t="s">
        <v>1486</v>
      </c>
      <c r="C1122" s="5" t="s">
        <v>170</v>
      </c>
      <c r="D1122" s="6">
        <f>IFERROR(__xludf.DUMMYFUNCTION("SPLIT(MID(C1122,2,LEN(C1122)-2), "","")"),189.0)</f>
        <v>189</v>
      </c>
      <c r="E1122" s="7"/>
      <c r="F1122" s="7"/>
      <c r="G1122" s="2" t="str">
        <f t="array" ref="G1122">IF(ISBLANK(D1122), "", INDEX(Categories!$B:$B,MATCH(D1122,Categories!$A:$A,0)))</f>
        <v>Pharmacies</v>
      </c>
      <c r="H1122" s="7" t="str">
        <f t="array" ref="H1122">IF(ISBLANK(E1122), "", INDEX(Categories!$B:$B,MATCH(E1122,Categories!$A:$A,0)))</f>
        <v/>
      </c>
      <c r="I1122" s="7" t="str">
        <f t="array" ref="I1122">IF(ISBLANK(F1122), "", INDEX(Categories!$B:$B,MATCH(F1122,Categories!$A:$A,0)))</f>
        <v/>
      </c>
      <c r="J1122" s="4"/>
      <c r="K1122" s="4"/>
      <c r="L1122" s="4"/>
      <c r="M1122" s="4"/>
      <c r="N1122" s="4"/>
      <c r="O1122" s="4"/>
      <c r="P1122" s="4"/>
      <c r="Q1122" s="4"/>
    </row>
    <row r="1123">
      <c r="A1123" s="5">
        <v>1122.0</v>
      </c>
      <c r="B1123" s="5" t="s">
        <v>1487</v>
      </c>
      <c r="C1123" s="5" t="s">
        <v>346</v>
      </c>
      <c r="D1123" s="6">
        <f>IFERROR(__xludf.DUMMYFUNCTION("SPLIT(MID(C1123,2,LEN(C1123)-2), "","")"),610.0)</f>
        <v>610</v>
      </c>
      <c r="E1123" s="7"/>
      <c r="F1123" s="7"/>
      <c r="G1123" s="2" t="str">
        <f t="array" ref="G1123">IF(ISBLANK(D1123), "", INDEX(Categories!$B:$B,MATCH(D1123,Categories!$A:$A,0)))</f>
        <v>Supermarkets &amp; Super Stores</v>
      </c>
      <c r="H1123" s="7" t="str">
        <f t="array" ref="H1123">IF(ISBLANK(E1123), "", INDEX(Categories!$B:$B,MATCH(E1123,Categories!$A:$A,0)))</f>
        <v/>
      </c>
      <c r="I1123" s="7" t="str">
        <f t="array" ref="I1123">IF(ISBLANK(F1123), "", INDEX(Categories!$B:$B,MATCH(F1123,Categories!$A:$A,0)))</f>
        <v/>
      </c>
      <c r="J1123" s="4"/>
      <c r="K1123" s="4"/>
      <c r="L1123" s="4"/>
      <c r="M1123" s="4"/>
      <c r="N1123" s="4"/>
      <c r="O1123" s="4"/>
      <c r="P1123" s="4"/>
      <c r="Q1123" s="4"/>
    </row>
    <row r="1124">
      <c r="A1124" s="5">
        <v>1123.0</v>
      </c>
      <c r="B1124" s="5" t="s">
        <v>1488</v>
      </c>
      <c r="C1124" s="5" t="s">
        <v>309</v>
      </c>
      <c r="D1124" s="6">
        <f>IFERROR(__xludf.DUMMYFUNCTION("SPLIT(MID(C1124,2,LEN(C1124)-2), "","")"),458.0)</f>
        <v>458</v>
      </c>
      <c r="E1124" s="7"/>
      <c r="F1124" s="7"/>
      <c r="G1124" s="2" t="str">
        <f t="array" ref="G1124">IF(ISBLANK(D1124), "", INDEX(Categories!$B:$B,MATCH(D1124,Categories!$A:$A,0)))</f>
        <v>Real Estate - Brokers &amp; Agents</v>
      </c>
      <c r="H1124" s="7" t="str">
        <f t="array" ref="H1124">IF(ISBLANK(E1124), "", INDEX(Categories!$B:$B,MATCH(E1124,Categories!$A:$A,0)))</f>
        <v/>
      </c>
      <c r="I1124" s="7" t="str">
        <f t="array" ref="I1124">IF(ISBLANK(F1124), "", INDEX(Categories!$B:$B,MATCH(F1124,Categories!$A:$A,0)))</f>
        <v/>
      </c>
      <c r="J1124" s="4"/>
      <c r="K1124" s="4"/>
      <c r="L1124" s="4"/>
      <c r="M1124" s="4"/>
      <c r="N1124" s="4"/>
      <c r="O1124" s="4"/>
      <c r="P1124" s="4"/>
      <c r="Q1124" s="4"/>
    </row>
    <row r="1125">
      <c r="A1125" s="5">
        <v>1124.0</v>
      </c>
      <c r="B1125" s="5" t="s">
        <v>1489</v>
      </c>
      <c r="C1125" s="5" t="s">
        <v>87</v>
      </c>
      <c r="D1125" s="6">
        <f>IFERROR(__xludf.DUMMYFUNCTION("SPLIT(MID(C1125,2,LEN(C1125)-2), "","")"),168.0)</f>
        <v>168</v>
      </c>
      <c r="E1125" s="7"/>
      <c r="F1125" s="7"/>
      <c r="G1125" s="2" t="str">
        <f t="array" ref="G1125">IF(ISBLANK(D1125), "", INDEX(Categories!$B:$B,MATCH(D1125,Categories!$A:$A,0)))</f>
        <v>Hotels &amp; Motels</v>
      </c>
      <c r="H1125" s="7" t="str">
        <f t="array" ref="H1125">IF(ISBLANK(E1125), "", INDEX(Categories!$B:$B,MATCH(E1125,Categories!$A:$A,0)))</f>
        <v/>
      </c>
      <c r="I1125" s="7" t="str">
        <f t="array" ref="I1125">IF(ISBLANK(F1125), "", INDEX(Categories!$B:$B,MATCH(F1125,Categories!$A:$A,0)))</f>
        <v/>
      </c>
      <c r="J1125" s="4"/>
      <c r="K1125" s="4"/>
      <c r="L1125" s="4"/>
      <c r="M1125" s="4"/>
      <c r="N1125" s="4"/>
      <c r="O1125" s="4"/>
      <c r="P1125" s="4"/>
      <c r="Q1125" s="4"/>
    </row>
    <row r="1126">
      <c r="A1126" s="5">
        <v>1125.0</v>
      </c>
      <c r="B1126" s="5" t="s">
        <v>1490</v>
      </c>
      <c r="C1126" s="5" t="s">
        <v>1443</v>
      </c>
      <c r="D1126" s="6">
        <f>IFERROR(__xludf.DUMMYFUNCTION("SPLIT(MID(C1126,2,LEN(C1126)-2), "","")"),2396.0)</f>
        <v>2396</v>
      </c>
      <c r="E1126" s="7"/>
      <c r="F1126" s="7"/>
      <c r="G1126" s="2" t="str">
        <f t="array" ref="G1126">IF(ISBLANK(D1126), "", INDEX(Categories!$B:$B,MATCH(D1126,Categories!$A:$A,0)))</f>
        <v>Dental Equipment Repairing &amp; Refinishing</v>
      </c>
      <c r="H1126" s="7" t="str">
        <f t="array" ref="H1126">IF(ISBLANK(E1126), "", INDEX(Categories!$B:$B,MATCH(E1126,Categories!$A:$A,0)))</f>
        <v/>
      </c>
      <c r="I1126" s="7" t="str">
        <f t="array" ref="I1126">IF(ISBLANK(F1126), "", INDEX(Categories!$B:$B,MATCH(F1126,Categories!$A:$A,0)))</f>
        <v/>
      </c>
      <c r="J1126" s="4"/>
      <c r="K1126" s="4"/>
      <c r="L1126" s="4"/>
      <c r="M1126" s="4"/>
      <c r="N1126" s="4"/>
      <c r="O1126" s="4"/>
      <c r="P1126" s="4"/>
      <c r="Q1126" s="4"/>
    </row>
    <row r="1127">
      <c r="A1127" s="5">
        <v>1126.0</v>
      </c>
      <c r="B1127" s="5" t="s">
        <v>1491</v>
      </c>
      <c r="C1127" s="5" t="s">
        <v>238</v>
      </c>
      <c r="D1127" s="6">
        <f>IFERROR(__xludf.DUMMYFUNCTION("SPLIT(MID(C1127,2,LEN(C1127)-2), "","")"),2536.0)</f>
        <v>2536</v>
      </c>
      <c r="E1127" s="7"/>
      <c r="F1127" s="7"/>
      <c r="G1127" s="2" t="str">
        <f t="array" ref="G1127">IF(ISBLANK(D1127), "", INDEX(Categories!$B:$B,MATCH(D1127,Categories!$A:$A,0)))</f>
        <v>Carpet Rug &amp; Upholstery Cleaners</v>
      </c>
      <c r="H1127" s="7" t="str">
        <f t="array" ref="H1127">IF(ISBLANK(E1127), "", INDEX(Categories!$B:$B,MATCH(E1127,Categories!$A:$A,0)))</f>
        <v/>
      </c>
      <c r="I1127" s="7" t="str">
        <f t="array" ref="I1127">IF(ISBLANK(F1127), "", INDEX(Categories!$B:$B,MATCH(F1127,Categories!$A:$A,0)))</f>
        <v/>
      </c>
      <c r="J1127" s="4"/>
      <c r="K1127" s="4"/>
      <c r="L1127" s="4"/>
      <c r="M1127" s="4"/>
      <c r="N1127" s="4"/>
      <c r="O1127" s="4"/>
      <c r="P1127" s="4"/>
      <c r="Q1127" s="4"/>
    </row>
    <row r="1128">
      <c r="A1128" s="5">
        <v>1127.0</v>
      </c>
      <c r="B1128" s="5" t="s">
        <v>1492</v>
      </c>
      <c r="C1128" s="5" t="s">
        <v>87</v>
      </c>
      <c r="D1128" s="6">
        <f>IFERROR(__xludf.DUMMYFUNCTION("SPLIT(MID(C1128,2,LEN(C1128)-2), "","")"),168.0)</f>
        <v>168</v>
      </c>
      <c r="E1128" s="7"/>
      <c r="F1128" s="7"/>
      <c r="G1128" s="2" t="str">
        <f t="array" ref="G1128">IF(ISBLANK(D1128), "", INDEX(Categories!$B:$B,MATCH(D1128,Categories!$A:$A,0)))</f>
        <v>Hotels &amp; Motels</v>
      </c>
      <c r="H1128" s="7" t="str">
        <f t="array" ref="H1128">IF(ISBLANK(E1128), "", INDEX(Categories!$B:$B,MATCH(E1128,Categories!$A:$A,0)))</f>
        <v/>
      </c>
      <c r="I1128" s="7" t="str">
        <f t="array" ref="I1128">IF(ISBLANK(F1128), "", INDEX(Categories!$B:$B,MATCH(F1128,Categories!$A:$A,0)))</f>
        <v/>
      </c>
      <c r="J1128" s="4"/>
      <c r="K1128" s="4"/>
      <c r="L1128" s="4"/>
      <c r="M1128" s="4"/>
      <c r="N1128" s="4"/>
      <c r="O1128" s="4"/>
      <c r="P1128" s="4"/>
      <c r="Q1128" s="4"/>
    </row>
    <row r="1129">
      <c r="A1129" s="5">
        <v>1128.0</v>
      </c>
      <c r="B1129" s="5" t="s">
        <v>1493</v>
      </c>
      <c r="C1129" s="5" t="s">
        <v>176</v>
      </c>
      <c r="D1129" s="6">
        <f>IFERROR(__xludf.DUMMYFUNCTION("SPLIT(MID(C1129,2,LEN(C1129)-2), "","")"),2557.0)</f>
        <v>2557</v>
      </c>
      <c r="E1129" s="7"/>
      <c r="F1129" s="7"/>
      <c r="G1129" s="2" t="str">
        <f t="array" ref="G1129">IF(ISBLANK(D1129), "", INDEX(Categories!$B:$B,MATCH(D1129,Categories!$A:$A,0)))</f>
        <v>Maids &amp; Butlers Services</v>
      </c>
      <c r="H1129" s="7" t="str">
        <f t="array" ref="H1129">IF(ISBLANK(E1129), "", INDEX(Categories!$B:$B,MATCH(E1129,Categories!$A:$A,0)))</f>
        <v/>
      </c>
      <c r="I1129" s="7" t="str">
        <f t="array" ref="I1129">IF(ISBLANK(F1129), "", INDEX(Categories!$B:$B,MATCH(F1129,Categories!$A:$A,0)))</f>
        <v/>
      </c>
      <c r="J1129" s="4"/>
      <c r="K1129" s="4"/>
      <c r="L1129" s="4"/>
      <c r="M1129" s="4"/>
      <c r="N1129" s="4"/>
      <c r="O1129" s="4"/>
      <c r="P1129" s="4"/>
      <c r="Q1129" s="4"/>
    </row>
    <row r="1130">
      <c r="A1130" s="5">
        <v>1129.0</v>
      </c>
      <c r="B1130" s="5" t="s">
        <v>1494</v>
      </c>
      <c r="C1130" s="5" t="s">
        <v>253</v>
      </c>
      <c r="D1130" s="6">
        <f>IFERROR(__xludf.DUMMYFUNCTION("SPLIT(MID(C1130,2,LEN(C1130)-2), "","")"),686.0)</f>
        <v>686</v>
      </c>
      <c r="E1130" s="7"/>
      <c r="F1130" s="7"/>
      <c r="G1130" s="2" t="str">
        <f t="array" ref="G1130">IF(ISBLANK(D1130), "", INDEX(Categories!$B:$B,MATCH(D1130,Categories!$A:$A,0)))</f>
        <v>Gift Shops</v>
      </c>
      <c r="H1130" s="7" t="str">
        <f t="array" ref="H1130">IF(ISBLANK(E1130), "", INDEX(Categories!$B:$B,MATCH(E1130,Categories!$A:$A,0)))</f>
        <v/>
      </c>
      <c r="I1130" s="7" t="str">
        <f t="array" ref="I1130">IF(ISBLANK(F1130), "", INDEX(Categories!$B:$B,MATCH(F1130,Categories!$A:$A,0)))</f>
        <v/>
      </c>
      <c r="J1130" s="4"/>
      <c r="K1130" s="4"/>
      <c r="L1130" s="4"/>
      <c r="M1130" s="4"/>
      <c r="N1130" s="4"/>
      <c r="O1130" s="4"/>
      <c r="P1130" s="4"/>
      <c r="Q1130" s="4"/>
    </row>
    <row r="1131">
      <c r="A1131" s="5">
        <v>1130.0</v>
      </c>
      <c r="B1131" s="5" t="s">
        <v>1495</v>
      </c>
      <c r="C1131" s="5" t="s">
        <v>69</v>
      </c>
      <c r="D1131" s="6">
        <f>IFERROR(__xludf.DUMMYFUNCTION("SPLIT(MID(C1131,2,LEN(C1131)-2), "","")"),293.0)</f>
        <v>293</v>
      </c>
      <c r="E1131" s="7"/>
      <c r="F1131" s="7"/>
      <c r="G1131" s="2" t="str">
        <f t="array" ref="G1131">IF(ISBLANK(D1131), "", INDEX(Categories!$B:$B,MATCH(D1131,Categories!$A:$A,0)))</f>
        <v>Banks Commercial</v>
      </c>
      <c r="H1131" s="7" t="str">
        <f t="array" ref="H1131">IF(ISBLANK(E1131), "", INDEX(Categories!$B:$B,MATCH(E1131,Categories!$A:$A,0)))</f>
        <v/>
      </c>
      <c r="I1131" s="7" t="str">
        <f t="array" ref="I1131">IF(ISBLANK(F1131), "", INDEX(Categories!$B:$B,MATCH(F1131,Categories!$A:$A,0)))</f>
        <v/>
      </c>
      <c r="J1131" s="4"/>
      <c r="K1131" s="4"/>
      <c r="L1131" s="4"/>
      <c r="M1131" s="4"/>
      <c r="N1131" s="4"/>
      <c r="O1131" s="4"/>
      <c r="P1131" s="4"/>
      <c r="Q1131" s="4"/>
    </row>
    <row r="1132">
      <c r="A1132" s="5">
        <v>1131.0</v>
      </c>
      <c r="B1132" s="5" t="s">
        <v>1496</v>
      </c>
      <c r="C1132" s="5" t="s">
        <v>1497</v>
      </c>
      <c r="D1132" s="6">
        <f>IFERROR(__xludf.DUMMYFUNCTION("SPLIT(MID(C1132,2,LEN(C1132)-2), "","")"),2880.0)</f>
        <v>2880</v>
      </c>
      <c r="E1132" s="7"/>
      <c r="F1132" s="7"/>
      <c r="G1132" s="2" t="str">
        <f t="array" ref="G1132">IF(ISBLANK(D1132), "", INDEX(Categories!$B:$B,MATCH(D1132,Categories!$A:$A,0)))</f>
        <v>Home Inspection Service</v>
      </c>
      <c r="H1132" s="7" t="str">
        <f t="array" ref="H1132">IF(ISBLANK(E1132), "", INDEX(Categories!$B:$B,MATCH(E1132,Categories!$A:$A,0)))</f>
        <v/>
      </c>
      <c r="I1132" s="7" t="str">
        <f t="array" ref="I1132">IF(ISBLANK(F1132), "", INDEX(Categories!$B:$B,MATCH(F1132,Categories!$A:$A,0)))</f>
        <v/>
      </c>
      <c r="J1132" s="4"/>
      <c r="K1132" s="4"/>
      <c r="L1132" s="4"/>
      <c r="M1132" s="4"/>
      <c r="N1132" s="4"/>
      <c r="O1132" s="4"/>
      <c r="P1132" s="4"/>
      <c r="Q1132" s="4"/>
    </row>
    <row r="1133">
      <c r="A1133" s="5">
        <v>1132.0</v>
      </c>
      <c r="B1133" s="5" t="s">
        <v>1498</v>
      </c>
      <c r="C1133" s="5" t="s">
        <v>34</v>
      </c>
      <c r="D1133" s="6">
        <f>IFERROR(__xludf.DUMMYFUNCTION("SPLIT(MID(C1133,2,LEN(C1133)-2), "","")"),228.0)</f>
        <v>228</v>
      </c>
      <c r="E1133" s="7"/>
      <c r="F1133" s="7"/>
      <c r="G1133" s="2" t="str">
        <f t="array" ref="G1133">IF(ISBLANK(D1133), "", INDEX(Categories!$B:$B,MATCH(D1133,Categories!$A:$A,0)))</f>
        <v>Restaurants</v>
      </c>
      <c r="H1133" s="7" t="str">
        <f t="array" ref="H1133">IF(ISBLANK(E1133), "", INDEX(Categories!$B:$B,MATCH(E1133,Categories!$A:$A,0)))</f>
        <v/>
      </c>
      <c r="I1133" s="7" t="str">
        <f t="array" ref="I1133">IF(ISBLANK(F1133), "", INDEX(Categories!$B:$B,MATCH(F1133,Categories!$A:$A,0)))</f>
        <v/>
      </c>
      <c r="J1133" s="4"/>
      <c r="K1133" s="4"/>
      <c r="L1133" s="4"/>
      <c r="M1133" s="4"/>
      <c r="N1133" s="4"/>
      <c r="O1133" s="4"/>
      <c r="P1133" s="4"/>
      <c r="Q1133" s="4"/>
    </row>
    <row r="1134">
      <c r="A1134" s="5">
        <v>1133.0</v>
      </c>
      <c r="B1134" s="5" t="s">
        <v>1499</v>
      </c>
      <c r="C1134" s="5" t="s">
        <v>96</v>
      </c>
      <c r="D1134" s="6">
        <f>IFERROR(__xludf.DUMMYFUNCTION("SPLIT(MID(C1134,2,LEN(C1134)-2), "","")"),572.0)</f>
        <v>572</v>
      </c>
      <c r="E1134" s="7"/>
      <c r="F1134" s="7"/>
      <c r="G1134" s="2" t="str">
        <f t="array" ref="G1134">IF(ISBLANK(D1134), "", INDEX(Categories!$B:$B,MATCH(D1134,Categories!$A:$A,0)))</f>
        <v>Groceries</v>
      </c>
      <c r="H1134" s="7" t="str">
        <f t="array" ref="H1134">IF(ISBLANK(E1134), "", INDEX(Categories!$B:$B,MATCH(E1134,Categories!$A:$A,0)))</f>
        <v/>
      </c>
      <c r="I1134" s="7" t="str">
        <f t="array" ref="I1134">IF(ISBLANK(F1134), "", INDEX(Categories!$B:$B,MATCH(F1134,Categories!$A:$A,0)))</f>
        <v/>
      </c>
      <c r="J1134" s="4"/>
      <c r="K1134" s="4"/>
      <c r="L1134" s="4"/>
      <c r="M1134" s="4"/>
      <c r="N1134" s="4"/>
      <c r="O1134" s="4"/>
      <c r="P1134" s="4"/>
      <c r="Q1134" s="4"/>
    </row>
    <row r="1135">
      <c r="A1135" s="5">
        <v>1134.0</v>
      </c>
      <c r="B1135" s="5" t="s">
        <v>1500</v>
      </c>
      <c r="C1135" s="5" t="s">
        <v>371</v>
      </c>
      <c r="D1135" s="6">
        <f>IFERROR(__xludf.DUMMYFUNCTION("SPLIT(MID(C1135,2,LEN(C1135)-2), "","")"),37.0)</f>
        <v>37</v>
      </c>
      <c r="E1135" s="7"/>
      <c r="F1135" s="7"/>
      <c r="G1135" s="2" t="str">
        <f t="array" ref="G1135">IF(ISBLANK(D1135), "", INDEX(Categories!$B:$B,MATCH(D1135,Categories!$A:$A,0)))</f>
        <v>Home Furnishings</v>
      </c>
      <c r="H1135" s="7" t="str">
        <f t="array" ref="H1135">IF(ISBLANK(E1135), "", INDEX(Categories!$B:$B,MATCH(E1135,Categories!$A:$A,0)))</f>
        <v/>
      </c>
      <c r="I1135" s="7" t="str">
        <f t="array" ref="I1135">IF(ISBLANK(F1135), "", INDEX(Categories!$B:$B,MATCH(F1135,Categories!$A:$A,0)))</f>
        <v/>
      </c>
      <c r="J1135" s="4"/>
      <c r="K1135" s="4"/>
      <c r="L1135" s="4"/>
      <c r="M1135" s="4"/>
      <c r="N1135" s="4"/>
      <c r="O1135" s="4"/>
      <c r="P1135" s="4"/>
      <c r="Q1135" s="4"/>
    </row>
    <row r="1136">
      <c r="A1136" s="5">
        <v>1135.0</v>
      </c>
      <c r="B1136" s="5" t="s">
        <v>1501</v>
      </c>
      <c r="C1136" s="5" t="s">
        <v>1376</v>
      </c>
      <c r="D1136" s="6">
        <f>IFERROR(__xludf.DUMMYFUNCTION("SPLIT(MID(C1136,2,LEN(C1136)-2), "","")"),2879.0)</f>
        <v>2879</v>
      </c>
      <c r="E1136" s="7"/>
      <c r="F1136" s="7"/>
      <c r="G1136" s="2" t="str">
        <f t="array" ref="G1136">IF(ISBLANK(D1136), "", INDEX(Categories!$B:$B,MATCH(D1136,Categories!$A:$A,0)))</f>
        <v>Building Inspection Service</v>
      </c>
      <c r="H1136" s="7" t="str">
        <f t="array" ref="H1136">IF(ISBLANK(E1136), "", INDEX(Categories!$B:$B,MATCH(E1136,Categories!$A:$A,0)))</f>
        <v/>
      </c>
      <c r="I1136" s="7" t="str">
        <f t="array" ref="I1136">IF(ISBLANK(F1136), "", INDEX(Categories!$B:$B,MATCH(F1136,Categories!$A:$A,0)))</f>
        <v/>
      </c>
      <c r="J1136" s="4"/>
      <c r="K1136" s="4"/>
      <c r="L1136" s="4"/>
      <c r="M1136" s="4"/>
      <c r="N1136" s="4"/>
      <c r="O1136" s="4"/>
      <c r="P1136" s="4"/>
      <c r="Q1136" s="4"/>
    </row>
    <row r="1137">
      <c r="A1137" s="5">
        <v>1136.0</v>
      </c>
      <c r="B1137" s="5" t="s">
        <v>1502</v>
      </c>
      <c r="C1137" s="5" t="s">
        <v>730</v>
      </c>
      <c r="D1137" s="6">
        <f>IFERROR(__xludf.DUMMYFUNCTION("SPLIT(MID(C1137,2,LEN(C1137)-2), "","")"),2765.0)</f>
        <v>2765</v>
      </c>
      <c r="E1137" s="7"/>
      <c r="F1137" s="7"/>
      <c r="G1137" s="2" t="str">
        <f t="array" ref="G1137">IF(ISBLANK(D1137), "", INDEX(Categories!$B:$B,MATCH(D1137,Categories!$A:$A,0)))</f>
        <v>Miscellaneous Business Services</v>
      </c>
      <c r="H1137" s="7" t="str">
        <f t="array" ref="H1137">IF(ISBLANK(E1137), "", INDEX(Categories!$B:$B,MATCH(E1137,Categories!$A:$A,0)))</f>
        <v/>
      </c>
      <c r="I1137" s="7" t="str">
        <f t="array" ref="I1137">IF(ISBLANK(F1137), "", INDEX(Categories!$B:$B,MATCH(F1137,Categories!$A:$A,0)))</f>
        <v/>
      </c>
      <c r="J1137" s="4"/>
      <c r="K1137" s="4"/>
      <c r="L1137" s="4"/>
      <c r="M1137" s="4"/>
      <c r="N1137" s="4"/>
      <c r="O1137" s="4"/>
      <c r="P1137" s="4"/>
      <c r="Q1137" s="4"/>
    </row>
    <row r="1138">
      <c r="A1138" s="5">
        <v>1137.0</v>
      </c>
      <c r="B1138" s="5" t="s">
        <v>1503</v>
      </c>
      <c r="C1138" s="5" t="s">
        <v>546</v>
      </c>
      <c r="D1138" s="6">
        <f>IFERROR(__xludf.DUMMYFUNCTION("SPLIT(MID(C1138,2,LEN(C1138)-2), "","")"),716.0)</f>
        <v>716</v>
      </c>
      <c r="E1138" s="7"/>
      <c r="F1138" s="7"/>
      <c r="G1138" s="2" t="str">
        <f t="array" ref="G1138">IF(ISBLANK(D1138), "", INDEX(Categories!$B:$B,MATCH(D1138,Categories!$A:$A,0)))</f>
        <v>Computer &amp; Computer Equipment Dealers</v>
      </c>
      <c r="H1138" s="7" t="str">
        <f t="array" ref="H1138">IF(ISBLANK(E1138), "", INDEX(Categories!$B:$B,MATCH(E1138,Categories!$A:$A,0)))</f>
        <v/>
      </c>
      <c r="I1138" s="7" t="str">
        <f t="array" ref="I1138">IF(ISBLANK(F1138), "", INDEX(Categories!$B:$B,MATCH(F1138,Categories!$A:$A,0)))</f>
        <v/>
      </c>
      <c r="J1138" s="4"/>
      <c r="K1138" s="4"/>
      <c r="L1138" s="4"/>
      <c r="M1138" s="4"/>
      <c r="N1138" s="4"/>
      <c r="O1138" s="4"/>
      <c r="P1138" s="4"/>
      <c r="Q1138" s="4"/>
    </row>
    <row r="1139">
      <c r="A1139" s="5">
        <v>1138.0</v>
      </c>
      <c r="B1139" s="5" t="s">
        <v>1504</v>
      </c>
      <c r="C1139" s="5" t="s">
        <v>1006</v>
      </c>
      <c r="D1139" s="6">
        <f>IFERROR(__xludf.DUMMYFUNCTION("SPLIT(MID(C1139,2,LEN(C1139)-2), "","")"),1808.0)</f>
        <v>1808</v>
      </c>
      <c r="E1139" s="7"/>
      <c r="F1139" s="7"/>
      <c r="G1139" s="2" t="str">
        <f t="array" ref="G1139">IF(ISBLANK(D1139), "", INDEX(Categories!$B:$B,MATCH(D1139,Categories!$A:$A,0)))</f>
        <v>Coffee Houses</v>
      </c>
      <c r="H1139" s="7" t="str">
        <f t="array" ref="H1139">IF(ISBLANK(E1139), "", INDEX(Categories!$B:$B,MATCH(E1139,Categories!$A:$A,0)))</f>
        <v/>
      </c>
      <c r="I1139" s="7" t="str">
        <f t="array" ref="I1139">IF(ISBLANK(F1139), "", INDEX(Categories!$B:$B,MATCH(F1139,Categories!$A:$A,0)))</f>
        <v/>
      </c>
      <c r="J1139" s="4"/>
      <c r="K1139" s="4"/>
      <c r="L1139" s="4"/>
      <c r="M1139" s="4"/>
      <c r="N1139" s="4"/>
      <c r="O1139" s="4"/>
      <c r="P1139" s="4"/>
      <c r="Q1139" s="4"/>
    </row>
    <row r="1140">
      <c r="A1140" s="5">
        <v>1139.0</v>
      </c>
      <c r="B1140" s="5" t="s">
        <v>1505</v>
      </c>
      <c r="C1140" s="5" t="s">
        <v>309</v>
      </c>
      <c r="D1140" s="6">
        <f>IFERROR(__xludf.DUMMYFUNCTION("SPLIT(MID(C1140,2,LEN(C1140)-2), "","")"),458.0)</f>
        <v>458</v>
      </c>
      <c r="E1140" s="7"/>
      <c r="F1140" s="7"/>
      <c r="G1140" s="2" t="str">
        <f t="array" ref="G1140">IF(ISBLANK(D1140), "", INDEX(Categories!$B:$B,MATCH(D1140,Categories!$A:$A,0)))</f>
        <v>Real Estate - Brokers &amp; Agents</v>
      </c>
      <c r="H1140" s="7" t="str">
        <f t="array" ref="H1140">IF(ISBLANK(E1140), "", INDEX(Categories!$B:$B,MATCH(E1140,Categories!$A:$A,0)))</f>
        <v/>
      </c>
      <c r="I1140" s="7" t="str">
        <f t="array" ref="I1140">IF(ISBLANK(F1140), "", INDEX(Categories!$B:$B,MATCH(F1140,Categories!$A:$A,0)))</f>
        <v/>
      </c>
      <c r="J1140" s="4"/>
      <c r="K1140" s="4"/>
      <c r="L1140" s="4"/>
      <c r="M1140" s="4"/>
      <c r="N1140" s="4"/>
      <c r="O1140" s="4"/>
      <c r="P1140" s="4"/>
      <c r="Q1140" s="4"/>
    </row>
    <row r="1141">
      <c r="A1141" s="5">
        <v>1140.0</v>
      </c>
      <c r="B1141" s="5" t="s">
        <v>1506</v>
      </c>
      <c r="C1141" s="5" t="s">
        <v>1507</v>
      </c>
      <c r="D1141" s="6">
        <f>IFERROR(__xludf.DUMMYFUNCTION("SPLIT(MID(C1141,2,LEN(C1141)-2), "","")"),2528.0)</f>
        <v>2528</v>
      </c>
      <c r="E1141" s="7"/>
      <c r="F1141" s="7"/>
      <c r="G1141" s="2" t="str">
        <f t="array" ref="G1141">IF(ISBLANK(D1141), "", INDEX(Categories!$B:$B,MATCH(D1141,Categories!$A:$A,0)))</f>
        <v>Cleaning Services &amp; Supplies</v>
      </c>
      <c r="H1141" s="7" t="str">
        <f t="array" ref="H1141">IF(ISBLANK(E1141), "", INDEX(Categories!$B:$B,MATCH(E1141,Categories!$A:$A,0)))</f>
        <v/>
      </c>
      <c r="I1141" s="7" t="str">
        <f t="array" ref="I1141">IF(ISBLANK(F1141), "", INDEX(Categories!$B:$B,MATCH(F1141,Categories!$A:$A,0)))</f>
        <v/>
      </c>
      <c r="J1141" s="4"/>
      <c r="K1141" s="4"/>
      <c r="L1141" s="4"/>
      <c r="M1141" s="4"/>
      <c r="N1141" s="4"/>
      <c r="O1141" s="4"/>
      <c r="P1141" s="4"/>
      <c r="Q1141" s="4"/>
    </row>
    <row r="1142">
      <c r="A1142" s="5">
        <v>1141.0</v>
      </c>
      <c r="B1142" s="5" t="s">
        <v>1508</v>
      </c>
      <c r="C1142" s="5" t="s">
        <v>102</v>
      </c>
      <c r="D1142" s="6">
        <f>IFERROR(__xludf.DUMMYFUNCTION("SPLIT(MID(C1142,2,LEN(C1142)-2), "","")"),298.0)</f>
        <v>298</v>
      </c>
      <c r="E1142" s="7"/>
      <c r="F1142" s="7"/>
      <c r="G1142" s="2" t="str">
        <f t="array" ref="G1142">IF(ISBLANK(D1142), "", INDEX(Categories!$B:$B,MATCH(D1142,Categories!$A:$A,0)))</f>
        <v>Financial Services</v>
      </c>
      <c r="H1142" s="7" t="str">
        <f t="array" ref="H1142">IF(ISBLANK(E1142), "", INDEX(Categories!$B:$B,MATCH(E1142,Categories!$A:$A,0)))</f>
        <v/>
      </c>
      <c r="I1142" s="7" t="str">
        <f t="array" ref="I1142">IF(ISBLANK(F1142), "", INDEX(Categories!$B:$B,MATCH(F1142,Categories!$A:$A,0)))</f>
        <v/>
      </c>
      <c r="J1142" s="4"/>
      <c r="K1142" s="4"/>
      <c r="L1142" s="4"/>
      <c r="M1142" s="4"/>
      <c r="N1142" s="4"/>
      <c r="O1142" s="4"/>
      <c r="P1142" s="4"/>
      <c r="Q1142" s="4"/>
    </row>
    <row r="1143">
      <c r="A1143" s="5">
        <v>1142.0</v>
      </c>
      <c r="B1143" s="5" t="s">
        <v>1509</v>
      </c>
      <c r="C1143" s="5" t="s">
        <v>392</v>
      </c>
      <c r="D1143" s="6">
        <f>IFERROR(__xludf.DUMMYFUNCTION("SPLIT(MID(C1143,2,LEN(C1143)-2), "","")"),2556.0)</f>
        <v>2556</v>
      </c>
      <c r="E1143" s="7"/>
      <c r="F1143" s="7"/>
      <c r="G1143" s="2" t="str">
        <f t="array" ref="G1143">IF(ISBLANK(D1143), "", INDEX(Categories!$B:$B,MATCH(D1143,Categories!$A:$A,0)))</f>
        <v>Janitors Service</v>
      </c>
      <c r="H1143" s="7" t="str">
        <f t="array" ref="H1143">IF(ISBLANK(E1143), "", INDEX(Categories!$B:$B,MATCH(E1143,Categories!$A:$A,0)))</f>
        <v/>
      </c>
      <c r="I1143" s="7" t="str">
        <f t="array" ref="I1143">IF(ISBLANK(F1143), "", INDEX(Categories!$B:$B,MATCH(F1143,Categories!$A:$A,0)))</f>
        <v/>
      </c>
      <c r="J1143" s="4"/>
      <c r="K1143" s="4"/>
      <c r="L1143" s="4"/>
      <c r="M1143" s="4"/>
      <c r="N1143" s="4"/>
      <c r="O1143" s="4"/>
      <c r="P1143" s="4"/>
      <c r="Q1143" s="4"/>
    </row>
    <row r="1144">
      <c r="A1144" s="5">
        <v>1143.0</v>
      </c>
      <c r="B1144" s="5" t="s">
        <v>1510</v>
      </c>
      <c r="C1144" s="5" t="s">
        <v>34</v>
      </c>
      <c r="D1144" s="6">
        <f>IFERROR(__xludf.DUMMYFUNCTION("SPLIT(MID(C1144,2,LEN(C1144)-2), "","")"),228.0)</f>
        <v>228</v>
      </c>
      <c r="E1144" s="7"/>
      <c r="F1144" s="7"/>
      <c r="G1144" s="2" t="str">
        <f t="array" ref="G1144">IF(ISBLANK(D1144), "", INDEX(Categories!$B:$B,MATCH(D1144,Categories!$A:$A,0)))</f>
        <v>Restaurants</v>
      </c>
      <c r="H1144" s="7" t="str">
        <f t="array" ref="H1144">IF(ISBLANK(E1144), "", INDEX(Categories!$B:$B,MATCH(E1144,Categories!$A:$A,0)))</f>
        <v/>
      </c>
      <c r="I1144" s="7" t="str">
        <f t="array" ref="I1144">IF(ISBLANK(F1144), "", INDEX(Categories!$B:$B,MATCH(F1144,Categories!$A:$A,0)))</f>
        <v/>
      </c>
      <c r="J1144" s="4"/>
      <c r="K1144" s="4"/>
      <c r="L1144" s="4"/>
      <c r="M1144" s="4"/>
      <c r="N1144" s="4"/>
      <c r="O1144" s="4"/>
      <c r="P1144" s="4"/>
      <c r="Q1144" s="4"/>
    </row>
    <row r="1145">
      <c r="A1145" s="5">
        <v>1144.0</v>
      </c>
      <c r="B1145" s="5" t="s">
        <v>1511</v>
      </c>
      <c r="C1145" s="5" t="s">
        <v>1512</v>
      </c>
      <c r="D1145" s="6">
        <f>IFERROR(__xludf.DUMMYFUNCTION("SPLIT(MID(C1145,2,LEN(C1145)-2), "","")"),1976.0)</f>
        <v>1976</v>
      </c>
      <c r="E1145" s="7"/>
      <c r="F1145" s="7"/>
      <c r="G1145" s="2" t="str">
        <f t="array" ref="G1145">IF(ISBLANK(D1145), "", INDEX(Categories!$B:$B,MATCH(D1145,Categories!$A:$A,0)))</f>
        <v>Asphalt Paving Contractors</v>
      </c>
      <c r="H1145" s="7" t="str">
        <f t="array" ref="H1145">IF(ISBLANK(E1145), "", INDEX(Categories!$B:$B,MATCH(E1145,Categories!$A:$A,0)))</f>
        <v/>
      </c>
      <c r="I1145" s="7" t="str">
        <f t="array" ref="I1145">IF(ISBLANK(F1145), "", INDEX(Categories!$B:$B,MATCH(F1145,Categories!$A:$A,0)))</f>
        <v/>
      </c>
      <c r="J1145" s="4"/>
      <c r="K1145" s="4"/>
      <c r="L1145" s="4"/>
      <c r="M1145" s="4"/>
      <c r="N1145" s="4"/>
      <c r="O1145" s="4"/>
      <c r="P1145" s="4"/>
      <c r="Q1145" s="4"/>
    </row>
    <row r="1146">
      <c r="A1146" s="5">
        <v>1145.0</v>
      </c>
      <c r="B1146" s="5" t="s">
        <v>1513</v>
      </c>
      <c r="C1146" s="5" t="s">
        <v>34</v>
      </c>
      <c r="D1146" s="6">
        <f>IFERROR(__xludf.DUMMYFUNCTION("SPLIT(MID(C1146,2,LEN(C1146)-2), "","")"),228.0)</f>
        <v>228</v>
      </c>
      <c r="E1146" s="7"/>
      <c r="F1146" s="7"/>
      <c r="G1146" s="2" t="str">
        <f t="array" ref="G1146">IF(ISBLANK(D1146), "", INDEX(Categories!$B:$B,MATCH(D1146,Categories!$A:$A,0)))</f>
        <v>Restaurants</v>
      </c>
      <c r="H1146" s="7" t="str">
        <f t="array" ref="H1146">IF(ISBLANK(E1146), "", INDEX(Categories!$B:$B,MATCH(E1146,Categories!$A:$A,0)))</f>
        <v/>
      </c>
      <c r="I1146" s="7" t="str">
        <f t="array" ref="I1146">IF(ISBLANK(F1146), "", INDEX(Categories!$B:$B,MATCH(F1146,Categories!$A:$A,0)))</f>
        <v/>
      </c>
      <c r="J1146" s="4"/>
      <c r="K1146" s="4"/>
      <c r="L1146" s="4"/>
      <c r="M1146" s="4"/>
      <c r="N1146" s="4"/>
      <c r="O1146" s="4"/>
      <c r="P1146" s="4"/>
      <c r="Q1146" s="4"/>
    </row>
    <row r="1147">
      <c r="A1147" s="5">
        <v>1146.0</v>
      </c>
      <c r="B1147" s="5" t="s">
        <v>1514</v>
      </c>
      <c r="C1147" s="5" t="s">
        <v>60</v>
      </c>
      <c r="D1147" s="6">
        <f>IFERROR(__xludf.DUMMYFUNCTION("SPLIT(MID(C1147,2,LEN(C1147)-2), "","")"),240.0)</f>
        <v>240</v>
      </c>
      <c r="E1147" s="7"/>
      <c r="F1147" s="7"/>
      <c r="G1147" s="2" t="str">
        <f t="array" ref="G1147">IF(ISBLANK(D1147), "", INDEX(Categories!$B:$B,MATCH(D1147,Categories!$A:$A,0)))</f>
        <v>Restaurants Fast Food</v>
      </c>
      <c r="H1147" s="7" t="str">
        <f t="array" ref="H1147">IF(ISBLANK(E1147), "", INDEX(Categories!$B:$B,MATCH(E1147,Categories!$A:$A,0)))</f>
        <v/>
      </c>
      <c r="I1147" s="7" t="str">
        <f t="array" ref="I1147">IF(ISBLANK(F1147), "", INDEX(Categories!$B:$B,MATCH(F1147,Categories!$A:$A,0)))</f>
        <v/>
      </c>
      <c r="J1147" s="4"/>
      <c r="K1147" s="4"/>
      <c r="L1147" s="4"/>
      <c r="M1147" s="4"/>
      <c r="N1147" s="4"/>
      <c r="O1147" s="4"/>
      <c r="P1147" s="4"/>
      <c r="Q1147" s="4"/>
    </row>
    <row r="1148">
      <c r="A1148" s="5">
        <v>1147.0</v>
      </c>
      <c r="B1148" s="5" t="s">
        <v>1515</v>
      </c>
      <c r="C1148" s="5" t="s">
        <v>107</v>
      </c>
      <c r="D1148" s="6">
        <f>IFERROR(__xludf.DUMMYFUNCTION("SPLIT(MID(C1148,2,LEN(C1148)-2), "","")"),760.0)</f>
        <v>760</v>
      </c>
      <c r="E1148" s="7"/>
      <c r="F1148" s="7"/>
      <c r="G1148" s="2" t="str">
        <f t="array" ref="G1148">IF(ISBLANK(D1148), "", INDEX(Categories!$B:$B,MATCH(D1148,Categories!$A:$A,0)))</f>
        <v>Discount Stores</v>
      </c>
      <c r="H1148" s="7" t="str">
        <f t="array" ref="H1148">IF(ISBLANK(E1148), "", INDEX(Categories!$B:$B,MATCH(E1148,Categories!$A:$A,0)))</f>
        <v/>
      </c>
      <c r="I1148" s="7" t="str">
        <f t="array" ref="I1148">IF(ISBLANK(F1148), "", INDEX(Categories!$B:$B,MATCH(F1148,Categories!$A:$A,0)))</f>
        <v/>
      </c>
      <c r="J1148" s="4"/>
      <c r="K1148" s="4"/>
      <c r="L1148" s="4"/>
      <c r="M1148" s="4"/>
      <c r="N1148" s="4"/>
      <c r="O1148" s="4"/>
      <c r="P1148" s="4"/>
      <c r="Q1148" s="4"/>
    </row>
    <row r="1149">
      <c r="A1149" s="5">
        <v>1148.0</v>
      </c>
      <c r="B1149" s="5" t="s">
        <v>1516</v>
      </c>
      <c r="C1149" s="5" t="s">
        <v>309</v>
      </c>
      <c r="D1149" s="6">
        <f>IFERROR(__xludf.DUMMYFUNCTION("SPLIT(MID(C1149,2,LEN(C1149)-2), "","")"),458.0)</f>
        <v>458</v>
      </c>
      <c r="E1149" s="7"/>
      <c r="F1149" s="7"/>
      <c r="G1149" s="2" t="str">
        <f t="array" ref="G1149">IF(ISBLANK(D1149), "", INDEX(Categories!$B:$B,MATCH(D1149,Categories!$A:$A,0)))</f>
        <v>Real Estate - Brokers &amp; Agents</v>
      </c>
      <c r="H1149" s="7" t="str">
        <f t="array" ref="H1149">IF(ISBLANK(E1149), "", INDEX(Categories!$B:$B,MATCH(E1149,Categories!$A:$A,0)))</f>
        <v/>
      </c>
      <c r="I1149" s="7" t="str">
        <f t="array" ref="I1149">IF(ISBLANK(F1149), "", INDEX(Categories!$B:$B,MATCH(F1149,Categories!$A:$A,0)))</f>
        <v/>
      </c>
      <c r="J1149" s="4"/>
      <c r="K1149" s="4"/>
      <c r="L1149" s="4"/>
      <c r="M1149" s="4"/>
      <c r="N1149" s="4"/>
      <c r="O1149" s="4"/>
      <c r="P1149" s="4"/>
      <c r="Q1149" s="4"/>
    </row>
    <row r="1150">
      <c r="A1150" s="5">
        <v>1149.0</v>
      </c>
      <c r="B1150" s="5" t="s">
        <v>1517</v>
      </c>
      <c r="C1150" s="5" t="s">
        <v>1344</v>
      </c>
      <c r="D1150" s="6">
        <f>IFERROR(__xludf.DUMMYFUNCTION("SPLIT(MID(C1150,2,LEN(C1150)-2), "","")"),2674.0)</f>
        <v>2674</v>
      </c>
      <c r="E1150" s="7"/>
      <c r="F1150" s="7"/>
      <c r="G1150" s="2" t="str">
        <f t="array" ref="G1150">IF(ISBLANK(D1150), "", INDEX(Categories!$B:$B,MATCH(D1150,Categories!$A:$A,0)))</f>
        <v>Home Improvement &amp; Remodeling Services</v>
      </c>
      <c r="H1150" s="7" t="str">
        <f t="array" ref="H1150">IF(ISBLANK(E1150), "", INDEX(Categories!$B:$B,MATCH(E1150,Categories!$A:$A,0)))</f>
        <v/>
      </c>
      <c r="I1150" s="7" t="str">
        <f t="array" ref="I1150">IF(ISBLANK(F1150), "", INDEX(Categories!$B:$B,MATCH(F1150,Categories!$A:$A,0)))</f>
        <v/>
      </c>
      <c r="J1150" s="4"/>
      <c r="K1150" s="4"/>
      <c r="L1150" s="4"/>
      <c r="M1150" s="4"/>
      <c r="N1150" s="4"/>
      <c r="O1150" s="4"/>
      <c r="P1150" s="4"/>
      <c r="Q1150" s="4"/>
    </row>
    <row r="1151">
      <c r="A1151" s="5">
        <v>1150.0</v>
      </c>
      <c r="B1151" s="5" t="s">
        <v>1518</v>
      </c>
      <c r="C1151" s="5" t="s">
        <v>62</v>
      </c>
      <c r="D1151" s="6">
        <f>IFERROR(__xludf.DUMMYFUNCTION("SPLIT(MID(C1151,2,LEN(C1151)-2), "","")"),242.0)</f>
        <v>242</v>
      </c>
      <c r="E1151" s="7"/>
      <c r="F1151" s="7"/>
      <c r="G1151" s="2" t="str">
        <f t="array" ref="G1151">IF(ISBLANK(D1151), "", INDEX(Categories!$B:$B,MATCH(D1151,Categories!$A:$A,0)))</f>
        <v>Restaurants Pizza</v>
      </c>
      <c r="H1151" s="7" t="str">
        <f t="array" ref="H1151">IF(ISBLANK(E1151), "", INDEX(Categories!$B:$B,MATCH(E1151,Categories!$A:$A,0)))</f>
        <v/>
      </c>
      <c r="I1151" s="7" t="str">
        <f t="array" ref="I1151">IF(ISBLANK(F1151), "", INDEX(Categories!$B:$B,MATCH(F1151,Categories!$A:$A,0)))</f>
        <v/>
      </c>
      <c r="J1151" s="4"/>
      <c r="K1151" s="4"/>
      <c r="L1151" s="4"/>
      <c r="M1151" s="4"/>
      <c r="N1151" s="4"/>
      <c r="O1151" s="4"/>
      <c r="P1151" s="4"/>
      <c r="Q1151" s="4"/>
    </row>
    <row r="1152">
      <c r="A1152" s="5">
        <v>1151.0</v>
      </c>
      <c r="B1152" s="5" t="s">
        <v>1519</v>
      </c>
      <c r="C1152" s="5" t="s">
        <v>102</v>
      </c>
      <c r="D1152" s="6">
        <f>IFERROR(__xludf.DUMMYFUNCTION("SPLIT(MID(C1152,2,LEN(C1152)-2), "","")"),298.0)</f>
        <v>298</v>
      </c>
      <c r="E1152" s="7"/>
      <c r="F1152" s="7"/>
      <c r="G1152" s="2" t="str">
        <f t="array" ref="G1152">IF(ISBLANK(D1152), "", INDEX(Categories!$B:$B,MATCH(D1152,Categories!$A:$A,0)))</f>
        <v>Financial Services</v>
      </c>
      <c r="H1152" s="7" t="str">
        <f t="array" ref="H1152">IF(ISBLANK(E1152), "", INDEX(Categories!$B:$B,MATCH(E1152,Categories!$A:$A,0)))</f>
        <v/>
      </c>
      <c r="I1152" s="7" t="str">
        <f t="array" ref="I1152">IF(ISBLANK(F1152), "", INDEX(Categories!$B:$B,MATCH(F1152,Categories!$A:$A,0)))</f>
        <v/>
      </c>
      <c r="J1152" s="4"/>
      <c r="K1152" s="4"/>
      <c r="L1152" s="4"/>
      <c r="M1152" s="4"/>
      <c r="N1152" s="4"/>
      <c r="O1152" s="4"/>
      <c r="P1152" s="4"/>
      <c r="Q1152" s="4"/>
    </row>
    <row r="1153">
      <c r="A1153" s="5">
        <v>1152.0</v>
      </c>
      <c r="B1153" s="5" t="s">
        <v>1520</v>
      </c>
      <c r="C1153" s="5" t="s">
        <v>1521</v>
      </c>
      <c r="D1153" s="6">
        <f>IFERROR(__xludf.DUMMYFUNCTION("SPLIT(MID(C1153,2,LEN(C1153)-2), "","")"),473.0)</f>
        <v>473</v>
      </c>
      <c r="E1153" s="7"/>
      <c r="F1153" s="7"/>
      <c r="G1153" s="2" t="str">
        <f t="array" ref="G1153">IF(ISBLANK(D1153), "", INDEX(Categories!$B:$B,MATCH(D1153,Categories!$A:$A,0)))</f>
        <v>Automobile Customizing</v>
      </c>
      <c r="H1153" s="7" t="str">
        <f t="array" ref="H1153">IF(ISBLANK(E1153), "", INDEX(Categories!$B:$B,MATCH(E1153,Categories!$A:$A,0)))</f>
        <v/>
      </c>
      <c r="I1153" s="7" t="str">
        <f t="array" ref="I1153">IF(ISBLANK(F1153), "", INDEX(Categories!$B:$B,MATCH(F1153,Categories!$A:$A,0)))</f>
        <v/>
      </c>
      <c r="J1153" s="4"/>
      <c r="K1153" s="4"/>
      <c r="L1153" s="4"/>
      <c r="M1153" s="4"/>
      <c r="N1153" s="4"/>
      <c r="O1153" s="4"/>
      <c r="P1153" s="4"/>
      <c r="Q1153" s="4"/>
    </row>
    <row r="1154">
      <c r="A1154" s="5">
        <v>1153.0</v>
      </c>
      <c r="B1154" s="5" t="s">
        <v>1522</v>
      </c>
      <c r="C1154" s="5" t="s">
        <v>847</v>
      </c>
      <c r="D1154" s="6">
        <f>IFERROR(__xludf.DUMMYFUNCTION("SPLIT(MID(C1154,2,LEN(C1154)-2), "","")"),728.0)</f>
        <v>728</v>
      </c>
      <c r="E1154" s="7"/>
      <c r="F1154" s="7"/>
      <c r="G1154" s="2" t="str">
        <f t="array" ref="G1154">IF(ISBLANK(D1154), "", INDEX(Categories!$B:$B,MATCH(D1154,Categories!$A:$A,0)))</f>
        <v>Airline Companies</v>
      </c>
      <c r="H1154" s="7" t="str">
        <f t="array" ref="H1154">IF(ISBLANK(E1154), "", INDEX(Categories!$B:$B,MATCH(E1154,Categories!$A:$A,0)))</f>
        <v/>
      </c>
      <c r="I1154" s="7" t="str">
        <f t="array" ref="I1154">IF(ISBLANK(F1154), "", INDEX(Categories!$B:$B,MATCH(F1154,Categories!$A:$A,0)))</f>
        <v/>
      </c>
      <c r="J1154" s="4"/>
      <c r="K1154" s="4"/>
      <c r="L1154" s="4"/>
      <c r="M1154" s="4"/>
      <c r="N1154" s="4"/>
      <c r="O1154" s="4"/>
      <c r="P1154" s="4"/>
      <c r="Q1154" s="4"/>
    </row>
    <row r="1155">
      <c r="A1155" s="5">
        <v>1154.0</v>
      </c>
      <c r="B1155" s="5" t="s">
        <v>1523</v>
      </c>
      <c r="C1155" s="5" t="s">
        <v>246</v>
      </c>
      <c r="D1155" s="6">
        <f>IFERROR(__xludf.DUMMYFUNCTION("SPLIT(MID(C1155,2,LEN(C1155)-2), "","")"),1587.0)</f>
        <v>1587</v>
      </c>
      <c r="E1155" s="7"/>
      <c r="F1155" s="7"/>
      <c r="G1155" s="2" t="str">
        <f t="array" ref="G1155">IF(ISBLANK(D1155), "", INDEX(Categories!$B:$B,MATCH(D1155,Categories!$A:$A,0)))</f>
        <v>Educational Services</v>
      </c>
      <c r="H1155" s="7" t="str">
        <f t="array" ref="H1155">IF(ISBLANK(E1155), "", INDEX(Categories!$B:$B,MATCH(E1155,Categories!$A:$A,0)))</f>
        <v/>
      </c>
      <c r="I1155" s="7" t="str">
        <f t="array" ref="I1155">IF(ISBLANK(F1155), "", INDEX(Categories!$B:$B,MATCH(F1155,Categories!$A:$A,0)))</f>
        <v/>
      </c>
      <c r="J1155" s="4"/>
      <c r="K1155" s="4"/>
      <c r="L1155" s="4"/>
      <c r="M1155" s="4"/>
      <c r="N1155" s="4"/>
      <c r="O1155" s="4"/>
      <c r="P1155" s="4"/>
      <c r="Q1155" s="4"/>
    </row>
    <row r="1156">
      <c r="A1156" s="5">
        <v>1155.0</v>
      </c>
      <c r="B1156" s="5" t="s">
        <v>1524</v>
      </c>
      <c r="C1156" s="5" t="s">
        <v>45</v>
      </c>
      <c r="D1156" s="6">
        <f>IFERROR(__xludf.DUMMYFUNCTION("SPLIT(MID(C1156,2,LEN(C1156)-2), "","")"),234.0)</f>
        <v>234</v>
      </c>
      <c r="E1156" s="7"/>
      <c r="F1156" s="7"/>
      <c r="G1156" s="2" t="str">
        <f t="array" ref="G1156">IF(ISBLANK(D1156), "", INDEX(Categories!$B:$B,MATCH(D1156,Categories!$A:$A,0)))</f>
        <v>Ice Cream Parlors Consumer</v>
      </c>
      <c r="H1156" s="7" t="str">
        <f t="array" ref="H1156">IF(ISBLANK(E1156), "", INDEX(Categories!$B:$B,MATCH(E1156,Categories!$A:$A,0)))</f>
        <v/>
      </c>
      <c r="I1156" s="7" t="str">
        <f t="array" ref="I1156">IF(ISBLANK(F1156), "", INDEX(Categories!$B:$B,MATCH(F1156,Categories!$A:$A,0)))</f>
        <v/>
      </c>
      <c r="J1156" s="4"/>
      <c r="K1156" s="4"/>
      <c r="L1156" s="4"/>
      <c r="M1156" s="4"/>
      <c r="N1156" s="4"/>
      <c r="O1156" s="4"/>
      <c r="P1156" s="4"/>
      <c r="Q1156" s="4"/>
    </row>
    <row r="1157">
      <c r="A1157" s="5">
        <v>1156.0</v>
      </c>
      <c r="B1157" s="5" t="s">
        <v>1525</v>
      </c>
      <c r="C1157" s="5" t="s">
        <v>566</v>
      </c>
      <c r="D1157" s="6">
        <f>IFERROR(__xludf.DUMMYFUNCTION("SPLIT(MID(C1157,2,LEN(C1157)-2), "","")"),792.0)</f>
        <v>792</v>
      </c>
      <c r="E1157" s="7"/>
      <c r="F1157" s="7"/>
      <c r="G1157" s="2" t="str">
        <f t="array" ref="G1157">IF(ISBLANK(D1157), "", INDEX(Categories!$B:$B,MATCH(D1157,Categories!$A:$A,0)))</f>
        <v>Advertising Specialties</v>
      </c>
      <c r="H1157" s="7" t="str">
        <f t="array" ref="H1157">IF(ISBLANK(E1157), "", INDEX(Categories!$B:$B,MATCH(E1157,Categories!$A:$A,0)))</f>
        <v/>
      </c>
      <c r="I1157" s="7" t="str">
        <f t="array" ref="I1157">IF(ISBLANK(F1157), "", INDEX(Categories!$B:$B,MATCH(F1157,Categories!$A:$A,0)))</f>
        <v/>
      </c>
      <c r="J1157" s="4"/>
      <c r="K1157" s="4"/>
      <c r="L1157" s="4"/>
      <c r="M1157" s="4"/>
      <c r="N1157" s="4"/>
      <c r="O1157" s="4"/>
      <c r="P1157" s="4"/>
      <c r="Q1157" s="4"/>
    </row>
    <row r="1158">
      <c r="A1158" s="5">
        <v>1157.0</v>
      </c>
      <c r="B1158" s="5" t="s">
        <v>1526</v>
      </c>
      <c r="C1158" s="5" t="s">
        <v>176</v>
      </c>
      <c r="D1158" s="6">
        <f>IFERROR(__xludf.DUMMYFUNCTION("SPLIT(MID(C1158,2,LEN(C1158)-2), "","")"),2557.0)</f>
        <v>2557</v>
      </c>
      <c r="E1158" s="7"/>
      <c r="F1158" s="7"/>
      <c r="G1158" s="2" t="str">
        <f t="array" ref="G1158">IF(ISBLANK(D1158), "", INDEX(Categories!$B:$B,MATCH(D1158,Categories!$A:$A,0)))</f>
        <v>Maids &amp; Butlers Services</v>
      </c>
      <c r="H1158" s="7" t="str">
        <f t="array" ref="H1158">IF(ISBLANK(E1158), "", INDEX(Categories!$B:$B,MATCH(E1158,Categories!$A:$A,0)))</f>
        <v/>
      </c>
      <c r="I1158" s="7" t="str">
        <f t="array" ref="I1158">IF(ISBLANK(F1158), "", INDEX(Categories!$B:$B,MATCH(F1158,Categories!$A:$A,0)))</f>
        <v/>
      </c>
      <c r="J1158" s="4"/>
      <c r="K1158" s="4"/>
      <c r="L1158" s="4"/>
      <c r="M1158" s="4"/>
      <c r="N1158" s="4"/>
      <c r="O1158" s="4"/>
      <c r="P1158" s="4"/>
      <c r="Q1158" s="4"/>
    </row>
    <row r="1159">
      <c r="A1159" s="5">
        <v>1158.0</v>
      </c>
      <c r="B1159" s="5" t="s">
        <v>1527</v>
      </c>
      <c r="C1159" s="5" t="s">
        <v>45</v>
      </c>
      <c r="D1159" s="6">
        <f>IFERROR(__xludf.DUMMYFUNCTION("SPLIT(MID(C1159,2,LEN(C1159)-2), "","")"),234.0)</f>
        <v>234</v>
      </c>
      <c r="E1159" s="7"/>
      <c r="F1159" s="7"/>
      <c r="G1159" s="2" t="str">
        <f t="array" ref="G1159">IF(ISBLANK(D1159), "", INDEX(Categories!$B:$B,MATCH(D1159,Categories!$A:$A,0)))</f>
        <v>Ice Cream Parlors Consumer</v>
      </c>
      <c r="H1159" s="7" t="str">
        <f t="array" ref="H1159">IF(ISBLANK(E1159), "", INDEX(Categories!$B:$B,MATCH(E1159,Categories!$A:$A,0)))</f>
        <v/>
      </c>
      <c r="I1159" s="7" t="str">
        <f t="array" ref="I1159">IF(ISBLANK(F1159), "", INDEX(Categories!$B:$B,MATCH(F1159,Categories!$A:$A,0)))</f>
        <v/>
      </c>
      <c r="J1159" s="4"/>
      <c r="K1159" s="4"/>
      <c r="L1159" s="4"/>
      <c r="M1159" s="4"/>
      <c r="N1159" s="4"/>
      <c r="O1159" s="4"/>
      <c r="P1159" s="4"/>
      <c r="Q1159" s="4"/>
    </row>
    <row r="1160">
      <c r="A1160" s="5">
        <v>1159.0</v>
      </c>
      <c r="B1160" s="5" t="s">
        <v>1528</v>
      </c>
      <c r="C1160" s="5" t="s">
        <v>62</v>
      </c>
      <c r="D1160" s="6">
        <f>IFERROR(__xludf.DUMMYFUNCTION("SPLIT(MID(C1160,2,LEN(C1160)-2), "","")"),242.0)</f>
        <v>242</v>
      </c>
      <c r="E1160" s="7"/>
      <c r="F1160" s="7"/>
      <c r="G1160" s="2" t="str">
        <f t="array" ref="G1160">IF(ISBLANK(D1160), "", INDEX(Categories!$B:$B,MATCH(D1160,Categories!$A:$A,0)))</f>
        <v>Restaurants Pizza</v>
      </c>
      <c r="H1160" s="7" t="str">
        <f t="array" ref="H1160">IF(ISBLANK(E1160), "", INDEX(Categories!$B:$B,MATCH(E1160,Categories!$A:$A,0)))</f>
        <v/>
      </c>
      <c r="I1160" s="7" t="str">
        <f t="array" ref="I1160">IF(ISBLANK(F1160), "", INDEX(Categories!$B:$B,MATCH(F1160,Categories!$A:$A,0)))</f>
        <v/>
      </c>
      <c r="J1160" s="4"/>
      <c r="K1160" s="4"/>
      <c r="L1160" s="4"/>
      <c r="M1160" s="4"/>
      <c r="N1160" s="4"/>
      <c r="O1160" s="4"/>
      <c r="P1160" s="4"/>
      <c r="Q1160" s="4"/>
    </row>
    <row r="1161">
      <c r="A1161" s="5">
        <v>1160.0</v>
      </c>
      <c r="B1161" s="5" t="s">
        <v>1529</v>
      </c>
      <c r="C1161" s="5" t="s">
        <v>1530</v>
      </c>
      <c r="D1161" s="6">
        <f>IFERROR(__xludf.DUMMYFUNCTION("SPLIT(MID(C1161,2,LEN(C1161)-2), "","")"),239.0)</f>
        <v>239</v>
      </c>
      <c r="E1161" s="7"/>
      <c r="F1161" s="7"/>
      <c r="G1161" s="2" t="str">
        <f t="array" ref="G1161">IF(ISBLANK(D1161), "", INDEX(Categories!$B:$B,MATCH(D1161,Categories!$A:$A,0)))</f>
        <v>Restaurants Dining</v>
      </c>
      <c r="H1161" s="7" t="str">
        <f t="array" ref="H1161">IF(ISBLANK(E1161), "", INDEX(Categories!$B:$B,MATCH(E1161,Categories!$A:$A,0)))</f>
        <v/>
      </c>
      <c r="I1161" s="7" t="str">
        <f t="array" ref="I1161">IF(ISBLANK(F1161), "", INDEX(Categories!$B:$B,MATCH(F1161,Categories!$A:$A,0)))</f>
        <v/>
      </c>
      <c r="J1161" s="4"/>
      <c r="K1161" s="4"/>
      <c r="L1161" s="4"/>
      <c r="M1161" s="4"/>
      <c r="N1161" s="4"/>
      <c r="O1161" s="4"/>
      <c r="P1161" s="4"/>
      <c r="Q1161" s="4"/>
    </row>
    <row r="1162">
      <c r="A1162" s="5">
        <v>1161.0</v>
      </c>
      <c r="B1162" s="5" t="s">
        <v>1531</v>
      </c>
      <c r="C1162" s="5" t="s">
        <v>1364</v>
      </c>
      <c r="D1162" s="6">
        <f>IFERROR(__xludf.DUMMYFUNCTION("SPLIT(MID(C1162,2,LEN(C1162)-2), "","")"),2543.0)</f>
        <v>2543</v>
      </c>
      <c r="E1162" s="7"/>
      <c r="F1162" s="7"/>
      <c r="G1162" s="2" t="str">
        <f t="array" ref="G1162">IF(ISBLANK(D1162), "", INDEX(Categories!$B:$B,MATCH(D1162,Categories!$A:$A,0)))</f>
        <v>Cleaning House &amp; Office</v>
      </c>
      <c r="H1162" s="7" t="str">
        <f t="array" ref="H1162">IF(ISBLANK(E1162), "", INDEX(Categories!$B:$B,MATCH(E1162,Categories!$A:$A,0)))</f>
        <v/>
      </c>
      <c r="I1162" s="7" t="str">
        <f t="array" ref="I1162">IF(ISBLANK(F1162), "", INDEX(Categories!$B:$B,MATCH(F1162,Categories!$A:$A,0)))</f>
        <v/>
      </c>
      <c r="J1162" s="4"/>
      <c r="K1162" s="4"/>
      <c r="L1162" s="4"/>
      <c r="M1162" s="4"/>
      <c r="N1162" s="4"/>
      <c r="O1162" s="4"/>
      <c r="P1162" s="4"/>
      <c r="Q1162" s="4"/>
    </row>
    <row r="1163">
      <c r="A1163" s="5">
        <v>1162.0</v>
      </c>
      <c r="B1163" s="5" t="s">
        <v>1532</v>
      </c>
      <c r="C1163" s="5" t="s">
        <v>14</v>
      </c>
      <c r="D1163" s="6">
        <f>IFERROR(__xludf.DUMMYFUNCTION("SPLIT(MID(C1163,2,LEN(C1163)-2), "","")"),1065.0)</f>
        <v>1065</v>
      </c>
      <c r="E1163" s="7"/>
      <c r="F1163" s="7"/>
      <c r="G1163" s="2" t="str">
        <f t="array" ref="G1163">IF(ISBLANK(D1163), "", INDEX(Categories!$B:$B,MATCH(D1163,Categories!$A:$A,0)))</f>
        <v>Hardware</v>
      </c>
      <c r="H1163" s="7" t="str">
        <f t="array" ref="H1163">IF(ISBLANK(E1163), "", INDEX(Categories!$B:$B,MATCH(E1163,Categories!$A:$A,0)))</f>
        <v/>
      </c>
      <c r="I1163" s="7" t="str">
        <f t="array" ref="I1163">IF(ISBLANK(F1163), "", INDEX(Categories!$B:$B,MATCH(F1163,Categories!$A:$A,0)))</f>
        <v/>
      </c>
      <c r="J1163" s="4"/>
      <c r="K1163" s="4"/>
      <c r="L1163" s="4"/>
      <c r="M1163" s="4"/>
      <c r="N1163" s="4"/>
      <c r="O1163" s="4"/>
      <c r="P1163" s="4"/>
      <c r="Q1163" s="4"/>
    </row>
    <row r="1164">
      <c r="A1164" s="5">
        <v>1163.0</v>
      </c>
      <c r="B1164" s="5" t="s">
        <v>1533</v>
      </c>
      <c r="C1164" s="5" t="s">
        <v>34</v>
      </c>
      <c r="D1164" s="6">
        <f>IFERROR(__xludf.DUMMYFUNCTION("SPLIT(MID(C1164,2,LEN(C1164)-2), "","")"),228.0)</f>
        <v>228</v>
      </c>
      <c r="E1164" s="7"/>
      <c r="F1164" s="7"/>
      <c r="G1164" s="2" t="str">
        <f t="array" ref="G1164">IF(ISBLANK(D1164), "", INDEX(Categories!$B:$B,MATCH(D1164,Categories!$A:$A,0)))</f>
        <v>Restaurants</v>
      </c>
      <c r="H1164" s="7" t="str">
        <f t="array" ref="H1164">IF(ISBLANK(E1164), "", INDEX(Categories!$B:$B,MATCH(E1164,Categories!$A:$A,0)))</f>
        <v/>
      </c>
      <c r="I1164" s="7" t="str">
        <f t="array" ref="I1164">IF(ISBLANK(F1164), "", INDEX(Categories!$B:$B,MATCH(F1164,Categories!$A:$A,0)))</f>
        <v/>
      </c>
      <c r="J1164" s="4"/>
      <c r="K1164" s="4"/>
      <c r="L1164" s="4"/>
      <c r="M1164" s="4"/>
      <c r="N1164" s="4"/>
      <c r="O1164" s="4"/>
      <c r="P1164" s="4"/>
      <c r="Q1164" s="4"/>
    </row>
    <row r="1165">
      <c r="A1165" s="5">
        <v>1164.0</v>
      </c>
      <c r="B1165" s="5" t="s">
        <v>1534</v>
      </c>
      <c r="C1165" s="5" t="s">
        <v>12</v>
      </c>
      <c r="D1165" s="6">
        <f>IFERROR(__xludf.DUMMYFUNCTION("SPLIT(MID(C1165,2,LEN(C1165)-2), "","")"),469.0)</f>
        <v>469</v>
      </c>
      <c r="E1165" s="7"/>
      <c r="F1165" s="7"/>
      <c r="G1165" s="2" t="str">
        <f t="array" ref="G1165">IF(ISBLANK(D1165), "", INDEX(Categories!$B:$B,MATCH(D1165,Categories!$A:$A,0)))</f>
        <v>Automobile - Repairs &amp; Services</v>
      </c>
      <c r="H1165" s="7" t="str">
        <f t="array" ref="H1165">IF(ISBLANK(E1165), "", INDEX(Categories!$B:$B,MATCH(E1165,Categories!$A:$A,0)))</f>
        <v/>
      </c>
      <c r="I1165" s="7" t="str">
        <f t="array" ref="I1165">IF(ISBLANK(F1165), "", INDEX(Categories!$B:$B,MATCH(F1165,Categories!$A:$A,0)))</f>
        <v/>
      </c>
      <c r="J1165" s="4"/>
      <c r="K1165" s="4"/>
      <c r="L1165" s="4"/>
      <c r="M1165" s="4"/>
      <c r="N1165" s="4"/>
      <c r="O1165" s="4"/>
      <c r="P1165" s="4"/>
      <c r="Q1165" s="4"/>
    </row>
    <row r="1166">
      <c r="A1166" s="5">
        <v>1165.0</v>
      </c>
      <c r="B1166" s="5" t="s">
        <v>1535</v>
      </c>
      <c r="C1166" s="5" t="s">
        <v>1536</v>
      </c>
      <c r="D1166" s="6">
        <f>IFERROR(__xludf.DUMMYFUNCTION("SPLIT(MID(C1166,2,LEN(C1166)-2), "","")"),1106.0)</f>
        <v>1106</v>
      </c>
      <c r="E1166" s="7"/>
      <c r="F1166" s="7"/>
      <c r="G1166" s="2" t="str">
        <f t="array" ref="G1166">IF(ISBLANK(D1166), "", INDEX(Categories!$B:$B,MATCH(D1166,Categories!$A:$A,0)))</f>
        <v>Airline Ticket Agencies</v>
      </c>
      <c r="H1166" s="7" t="str">
        <f t="array" ref="H1166">IF(ISBLANK(E1166), "", INDEX(Categories!$B:$B,MATCH(E1166,Categories!$A:$A,0)))</f>
        <v/>
      </c>
      <c r="I1166" s="7" t="str">
        <f t="array" ref="I1166">IF(ISBLANK(F1166), "", INDEX(Categories!$B:$B,MATCH(F1166,Categories!$A:$A,0)))</f>
        <v/>
      </c>
      <c r="J1166" s="4"/>
      <c r="K1166" s="4"/>
      <c r="L1166" s="4"/>
      <c r="M1166" s="4"/>
      <c r="N1166" s="4"/>
      <c r="O1166" s="4"/>
      <c r="P1166" s="4"/>
      <c r="Q1166" s="4"/>
    </row>
    <row r="1167">
      <c r="A1167" s="5">
        <v>1166.0</v>
      </c>
      <c r="B1167" s="5" t="s">
        <v>1537</v>
      </c>
      <c r="C1167" s="5" t="s">
        <v>1538</v>
      </c>
      <c r="D1167" s="6">
        <f>IFERROR(__xludf.DUMMYFUNCTION("SPLIT(MID(C1167,2,LEN(C1167)-2), "","")"),1413.0)</f>
        <v>1413</v>
      </c>
      <c r="E1167" s="7"/>
      <c r="F1167" s="7"/>
      <c r="G1167" s="2" t="str">
        <f t="array" ref="G1167">IF(ISBLANK(D1167), "", INDEX(Categories!$B:$B,MATCH(D1167,Categories!$A:$A,0)))</f>
        <v>Schools Business Vocational &amp; Trade</v>
      </c>
      <c r="H1167" s="7" t="str">
        <f t="array" ref="H1167">IF(ISBLANK(E1167), "", INDEX(Categories!$B:$B,MATCH(E1167,Categories!$A:$A,0)))</f>
        <v/>
      </c>
      <c r="I1167" s="7" t="str">
        <f t="array" ref="I1167">IF(ISBLANK(F1167), "", INDEX(Categories!$B:$B,MATCH(F1167,Categories!$A:$A,0)))</f>
        <v/>
      </c>
      <c r="J1167" s="4"/>
      <c r="K1167" s="4"/>
      <c r="L1167" s="4"/>
      <c r="M1167" s="4"/>
      <c r="N1167" s="4"/>
      <c r="O1167" s="4"/>
      <c r="P1167" s="4"/>
      <c r="Q1167" s="4"/>
    </row>
    <row r="1168">
      <c r="A1168" s="5">
        <v>1167.0</v>
      </c>
      <c r="B1168" s="5" t="s">
        <v>1539</v>
      </c>
      <c r="C1168" s="5" t="s">
        <v>87</v>
      </c>
      <c r="D1168" s="6">
        <f>IFERROR(__xludf.DUMMYFUNCTION("SPLIT(MID(C1168,2,LEN(C1168)-2), "","")"),168.0)</f>
        <v>168</v>
      </c>
      <c r="E1168" s="7"/>
      <c r="F1168" s="7"/>
      <c r="G1168" s="2" t="str">
        <f t="array" ref="G1168">IF(ISBLANK(D1168), "", INDEX(Categories!$B:$B,MATCH(D1168,Categories!$A:$A,0)))</f>
        <v>Hotels &amp; Motels</v>
      </c>
      <c r="H1168" s="7" t="str">
        <f t="array" ref="H1168">IF(ISBLANK(E1168), "", INDEX(Categories!$B:$B,MATCH(E1168,Categories!$A:$A,0)))</f>
        <v/>
      </c>
      <c r="I1168" s="7" t="str">
        <f t="array" ref="I1168">IF(ISBLANK(F1168), "", INDEX(Categories!$B:$B,MATCH(F1168,Categories!$A:$A,0)))</f>
        <v/>
      </c>
      <c r="J1168" s="4"/>
      <c r="K1168" s="4"/>
      <c r="L1168" s="4"/>
      <c r="M1168" s="4"/>
      <c r="N1168" s="4"/>
      <c r="O1168" s="4"/>
      <c r="P1168" s="4"/>
      <c r="Q1168" s="4"/>
    </row>
    <row r="1169">
      <c r="A1169" s="5">
        <v>1168.0</v>
      </c>
      <c r="B1169" s="5" t="s">
        <v>1540</v>
      </c>
      <c r="C1169" s="5" t="s">
        <v>1109</v>
      </c>
      <c r="D1169" s="6">
        <f>IFERROR(__xludf.DUMMYFUNCTION("SPLIT(MID(C1169,2,LEN(C1169)-2), "","")"),45.0)</f>
        <v>45</v>
      </c>
      <c r="E1169" s="7"/>
      <c r="F1169" s="7"/>
      <c r="G1169" s="2" t="str">
        <f t="array" ref="G1169">IF(ISBLANK(D1169), "", INDEX(Categories!$B:$B,MATCH(D1169,Categories!$A:$A,0)))</f>
        <v>Automobile - Parts &amp; Accessories</v>
      </c>
      <c r="H1169" s="7" t="str">
        <f t="array" ref="H1169">IF(ISBLANK(E1169), "", INDEX(Categories!$B:$B,MATCH(E1169,Categories!$A:$A,0)))</f>
        <v/>
      </c>
      <c r="I1169" s="7" t="str">
        <f t="array" ref="I1169">IF(ISBLANK(F1169), "", INDEX(Categories!$B:$B,MATCH(F1169,Categories!$A:$A,0)))</f>
        <v/>
      </c>
      <c r="J1169" s="4"/>
      <c r="K1169" s="4"/>
      <c r="L1169" s="4"/>
      <c r="M1169" s="4"/>
      <c r="N1169" s="4"/>
      <c r="O1169" s="4"/>
      <c r="P1169" s="4"/>
      <c r="Q1169" s="4"/>
    </row>
    <row r="1170">
      <c r="A1170" s="5">
        <v>1169.0</v>
      </c>
      <c r="B1170" s="5" t="s">
        <v>1541</v>
      </c>
      <c r="C1170" s="5" t="s">
        <v>1542</v>
      </c>
      <c r="D1170" s="6">
        <f>IFERROR(__xludf.DUMMYFUNCTION("SPLIT(MID(C1170,2,LEN(C1170)-2), "","")"),474.0)</f>
        <v>474</v>
      </c>
      <c r="E1170" s="7"/>
      <c r="F1170" s="7"/>
      <c r="G1170" s="2" t="str">
        <f t="array" ref="G1170">IF(ISBLANK(D1170), "", INDEX(Categories!$B:$B,MATCH(D1170,Categories!$A:$A,0)))</f>
        <v>Automobile Diagnostic Services</v>
      </c>
      <c r="H1170" s="7" t="str">
        <f t="array" ref="H1170">IF(ISBLANK(E1170), "", INDEX(Categories!$B:$B,MATCH(E1170,Categories!$A:$A,0)))</f>
        <v/>
      </c>
      <c r="I1170" s="7" t="str">
        <f t="array" ref="I1170">IF(ISBLANK(F1170), "", INDEX(Categories!$B:$B,MATCH(F1170,Categories!$A:$A,0)))</f>
        <v/>
      </c>
      <c r="J1170" s="4"/>
      <c r="K1170" s="4"/>
      <c r="L1170" s="4"/>
      <c r="M1170" s="4"/>
      <c r="N1170" s="4"/>
      <c r="O1170" s="4"/>
      <c r="P1170" s="4"/>
      <c r="Q1170" s="4"/>
    </row>
    <row r="1171">
      <c r="A1171" s="5">
        <v>1170.0</v>
      </c>
      <c r="B1171" s="5" t="s">
        <v>1543</v>
      </c>
      <c r="C1171" s="5" t="s">
        <v>352</v>
      </c>
      <c r="D1171" s="6">
        <f>IFERROR(__xludf.DUMMYFUNCTION("SPLIT(MID(C1171,2,LEN(C1171)-2), "","")"),1288.0)</f>
        <v>1288</v>
      </c>
      <c r="E1171" s="7"/>
      <c r="F1171" s="7"/>
      <c r="G1171" s="2" t="str">
        <f t="array" ref="G1171">IF(ISBLANK(D1171), "", INDEX(Categories!$B:$B,MATCH(D1171,Categories!$A:$A,0)))</f>
        <v>Automobile Body Shop Services</v>
      </c>
      <c r="H1171" s="7" t="str">
        <f t="array" ref="H1171">IF(ISBLANK(E1171), "", INDEX(Categories!$B:$B,MATCH(E1171,Categories!$A:$A,0)))</f>
        <v/>
      </c>
      <c r="I1171" s="7" t="str">
        <f t="array" ref="I1171">IF(ISBLANK(F1171), "", INDEX(Categories!$B:$B,MATCH(F1171,Categories!$A:$A,0)))</f>
        <v/>
      </c>
      <c r="J1171" s="4"/>
      <c r="K1171" s="4"/>
      <c r="L1171" s="4"/>
      <c r="M1171" s="4"/>
      <c r="N1171" s="4"/>
      <c r="O1171" s="4"/>
      <c r="P1171" s="4"/>
      <c r="Q1171" s="4"/>
    </row>
    <row r="1172">
      <c r="A1172" s="5">
        <v>1171.0</v>
      </c>
      <c r="B1172" s="5" t="s">
        <v>1544</v>
      </c>
      <c r="C1172" s="5" t="s">
        <v>1545</v>
      </c>
      <c r="D1172" s="6">
        <f>IFERROR(__xludf.DUMMYFUNCTION("SPLIT(MID(C1172,2,LEN(C1172)-2), "","")"),2682.0)</f>
        <v>2682</v>
      </c>
      <c r="E1172" s="7"/>
      <c r="F1172" s="7"/>
      <c r="G1172" s="2" t="str">
        <f t="array" ref="G1172">IF(ISBLANK(D1172), "", INDEX(Categories!$B:$B,MATCH(D1172,Categories!$A:$A,0)))</f>
        <v>Bathtub &amp; Sink Repairing &amp; Refinishing</v>
      </c>
      <c r="H1172" s="7" t="str">
        <f t="array" ref="H1172">IF(ISBLANK(E1172), "", INDEX(Categories!$B:$B,MATCH(E1172,Categories!$A:$A,0)))</f>
        <v/>
      </c>
      <c r="I1172" s="7" t="str">
        <f t="array" ref="I1172">IF(ISBLANK(F1172), "", INDEX(Categories!$B:$B,MATCH(F1172,Categories!$A:$A,0)))</f>
        <v/>
      </c>
      <c r="J1172" s="4"/>
      <c r="K1172" s="4"/>
      <c r="L1172" s="4"/>
      <c r="M1172" s="4"/>
      <c r="N1172" s="4"/>
      <c r="O1172" s="4"/>
      <c r="P1172" s="4"/>
      <c r="Q1172" s="4"/>
    </row>
    <row r="1173">
      <c r="A1173" s="5">
        <v>1172.0</v>
      </c>
      <c r="B1173" s="5" t="s">
        <v>1546</v>
      </c>
      <c r="C1173" s="5" t="s">
        <v>34</v>
      </c>
      <c r="D1173" s="6">
        <f>IFERROR(__xludf.DUMMYFUNCTION("SPLIT(MID(C1173,2,LEN(C1173)-2), "","")"),228.0)</f>
        <v>228</v>
      </c>
      <c r="E1173" s="7"/>
      <c r="F1173" s="7"/>
      <c r="G1173" s="2" t="str">
        <f t="array" ref="G1173">IF(ISBLANK(D1173), "", INDEX(Categories!$B:$B,MATCH(D1173,Categories!$A:$A,0)))</f>
        <v>Restaurants</v>
      </c>
      <c r="H1173" s="7" t="str">
        <f t="array" ref="H1173">IF(ISBLANK(E1173), "", INDEX(Categories!$B:$B,MATCH(E1173,Categories!$A:$A,0)))</f>
        <v/>
      </c>
      <c r="I1173" s="7" t="str">
        <f t="array" ref="I1173">IF(ISBLANK(F1173), "", INDEX(Categories!$B:$B,MATCH(F1173,Categories!$A:$A,0)))</f>
        <v/>
      </c>
      <c r="J1173" s="4"/>
      <c r="K1173" s="4"/>
      <c r="L1173" s="4"/>
      <c r="M1173" s="4"/>
      <c r="N1173" s="4"/>
      <c r="O1173" s="4"/>
      <c r="P1173" s="4"/>
      <c r="Q1173" s="4"/>
    </row>
    <row r="1174">
      <c r="A1174" s="5">
        <v>1173.0</v>
      </c>
      <c r="B1174" s="5" t="s">
        <v>1547</v>
      </c>
      <c r="C1174" s="5" t="s">
        <v>1390</v>
      </c>
      <c r="D1174" s="6">
        <f>IFERROR(__xludf.DUMMYFUNCTION("SPLIT(MID(C1174,2,LEN(C1174)-2), "","")"),1064.0)</f>
        <v>1064</v>
      </c>
      <c r="E1174" s="7"/>
      <c r="F1174" s="7"/>
      <c r="G1174" s="2" t="str">
        <f t="array" ref="G1174">IF(ISBLANK(D1174), "", INDEX(Categories!$B:$B,MATCH(D1174,Categories!$A:$A,0)))</f>
        <v>Handyman Services</v>
      </c>
      <c r="H1174" s="7" t="str">
        <f t="array" ref="H1174">IF(ISBLANK(E1174), "", INDEX(Categories!$B:$B,MATCH(E1174,Categories!$A:$A,0)))</f>
        <v/>
      </c>
      <c r="I1174" s="7" t="str">
        <f t="array" ref="I1174">IF(ISBLANK(F1174), "", INDEX(Categories!$B:$B,MATCH(F1174,Categories!$A:$A,0)))</f>
        <v/>
      </c>
      <c r="J1174" s="4"/>
      <c r="K1174" s="4"/>
      <c r="L1174" s="4"/>
      <c r="M1174" s="4"/>
      <c r="N1174" s="4"/>
      <c r="O1174" s="4"/>
      <c r="P1174" s="4"/>
      <c r="Q1174" s="4"/>
    </row>
    <row r="1175">
      <c r="A1175" s="5">
        <v>1174.0</v>
      </c>
      <c r="B1175" s="5" t="s">
        <v>1548</v>
      </c>
      <c r="C1175" s="5" t="s">
        <v>34</v>
      </c>
      <c r="D1175" s="6">
        <f>IFERROR(__xludf.DUMMYFUNCTION("SPLIT(MID(C1175,2,LEN(C1175)-2), "","")"),228.0)</f>
        <v>228</v>
      </c>
      <c r="E1175" s="7"/>
      <c r="F1175" s="7"/>
      <c r="G1175" s="2" t="str">
        <f t="array" ref="G1175">IF(ISBLANK(D1175), "", INDEX(Categories!$B:$B,MATCH(D1175,Categories!$A:$A,0)))</f>
        <v>Restaurants</v>
      </c>
      <c r="H1175" s="7" t="str">
        <f t="array" ref="H1175">IF(ISBLANK(E1175), "", INDEX(Categories!$B:$B,MATCH(E1175,Categories!$A:$A,0)))</f>
        <v/>
      </c>
      <c r="I1175" s="7" t="str">
        <f t="array" ref="I1175">IF(ISBLANK(F1175), "", INDEX(Categories!$B:$B,MATCH(F1175,Categories!$A:$A,0)))</f>
        <v/>
      </c>
      <c r="J1175" s="4"/>
      <c r="K1175" s="4"/>
      <c r="L1175" s="4"/>
      <c r="M1175" s="4"/>
      <c r="N1175" s="4"/>
      <c r="O1175" s="4"/>
      <c r="P1175" s="4"/>
      <c r="Q1175" s="4"/>
    </row>
    <row r="1176">
      <c r="A1176" s="5">
        <v>1175.0</v>
      </c>
      <c r="B1176" s="5" t="s">
        <v>1549</v>
      </c>
      <c r="C1176" s="5" t="s">
        <v>12</v>
      </c>
      <c r="D1176" s="6">
        <f>IFERROR(__xludf.DUMMYFUNCTION("SPLIT(MID(C1176,2,LEN(C1176)-2), "","")"),469.0)</f>
        <v>469</v>
      </c>
      <c r="E1176" s="7"/>
      <c r="F1176" s="7"/>
      <c r="G1176" s="2" t="str">
        <f t="array" ref="G1176">IF(ISBLANK(D1176), "", INDEX(Categories!$B:$B,MATCH(D1176,Categories!$A:$A,0)))</f>
        <v>Automobile - Repairs &amp; Services</v>
      </c>
      <c r="H1176" s="7" t="str">
        <f t="array" ref="H1176">IF(ISBLANK(E1176), "", INDEX(Categories!$B:$B,MATCH(E1176,Categories!$A:$A,0)))</f>
        <v/>
      </c>
      <c r="I1176" s="7" t="str">
        <f t="array" ref="I1176">IF(ISBLANK(F1176), "", INDEX(Categories!$B:$B,MATCH(F1176,Categories!$A:$A,0)))</f>
        <v/>
      </c>
      <c r="J1176" s="4"/>
      <c r="K1176" s="4"/>
      <c r="L1176" s="4"/>
      <c r="M1176" s="4"/>
      <c r="N1176" s="4"/>
      <c r="O1176" s="4"/>
      <c r="P1176" s="4"/>
      <c r="Q1176" s="4"/>
    </row>
    <row r="1177">
      <c r="A1177" s="5">
        <v>1176.0</v>
      </c>
      <c r="B1177" s="5" t="s">
        <v>1550</v>
      </c>
      <c r="C1177" s="5" t="s">
        <v>1551</v>
      </c>
      <c r="D1177" s="6">
        <f>IFERROR(__xludf.DUMMYFUNCTION("SPLIT(MID(C1177,2,LEN(C1177)-2), "","")"),1543.0)</f>
        <v>1543</v>
      </c>
      <c r="E1177" s="7"/>
      <c r="F1177" s="7"/>
      <c r="G1177" s="2" t="str">
        <f t="array" ref="G1177">IF(ISBLANK(D1177), "", INDEX(Categories!$B:$B,MATCH(D1177,Categories!$A:$A,0)))</f>
        <v>Surveyors Equipment &amp; Services</v>
      </c>
      <c r="H1177" s="7" t="str">
        <f t="array" ref="H1177">IF(ISBLANK(E1177), "", INDEX(Categories!$B:$B,MATCH(E1177,Categories!$A:$A,0)))</f>
        <v/>
      </c>
      <c r="I1177" s="7" t="str">
        <f t="array" ref="I1177">IF(ISBLANK(F1177), "", INDEX(Categories!$B:$B,MATCH(F1177,Categories!$A:$A,0)))</f>
        <v/>
      </c>
      <c r="J1177" s="4"/>
      <c r="K1177" s="4"/>
      <c r="L1177" s="4"/>
      <c r="M1177" s="4"/>
      <c r="N1177" s="4"/>
      <c r="O1177" s="4"/>
      <c r="P1177" s="4"/>
      <c r="Q1177" s="4"/>
    </row>
    <row r="1178">
      <c r="A1178" s="5">
        <v>1177.0</v>
      </c>
      <c r="B1178" s="5" t="s">
        <v>1552</v>
      </c>
      <c r="C1178" s="5" t="s">
        <v>60</v>
      </c>
      <c r="D1178" s="6">
        <f>IFERROR(__xludf.DUMMYFUNCTION("SPLIT(MID(C1178,2,LEN(C1178)-2), "","")"),240.0)</f>
        <v>240</v>
      </c>
      <c r="E1178" s="7"/>
      <c r="F1178" s="7"/>
      <c r="G1178" s="2" t="str">
        <f t="array" ref="G1178">IF(ISBLANK(D1178), "", INDEX(Categories!$B:$B,MATCH(D1178,Categories!$A:$A,0)))</f>
        <v>Restaurants Fast Food</v>
      </c>
      <c r="H1178" s="7" t="str">
        <f t="array" ref="H1178">IF(ISBLANK(E1178), "", INDEX(Categories!$B:$B,MATCH(E1178,Categories!$A:$A,0)))</f>
        <v/>
      </c>
      <c r="I1178" s="7" t="str">
        <f t="array" ref="I1178">IF(ISBLANK(F1178), "", INDEX(Categories!$B:$B,MATCH(F1178,Categories!$A:$A,0)))</f>
        <v/>
      </c>
      <c r="J1178" s="4"/>
      <c r="K1178" s="4"/>
      <c r="L1178" s="4"/>
      <c r="M1178" s="4"/>
      <c r="N1178" s="4"/>
      <c r="O1178" s="4"/>
      <c r="P1178" s="4"/>
      <c r="Q1178" s="4"/>
    </row>
    <row r="1179">
      <c r="A1179" s="5">
        <v>1178.0</v>
      </c>
      <c r="B1179" s="5" t="s">
        <v>1553</v>
      </c>
      <c r="C1179" s="5" t="s">
        <v>1341</v>
      </c>
      <c r="D1179" s="6">
        <f>IFERROR(__xludf.DUMMYFUNCTION("SPLIT(MID(C1179,2,LEN(C1179)-2), "","")"),2671.0)</f>
        <v>2671</v>
      </c>
      <c r="E1179" s="7"/>
      <c r="F1179" s="7"/>
      <c r="G1179" s="2" t="str">
        <f t="array" ref="G1179">IF(ISBLANK(D1179), "", INDEX(Categories!$B:$B,MATCH(D1179,Categories!$A:$A,0)))</f>
        <v>Window Coverings Wholesale</v>
      </c>
      <c r="H1179" s="7" t="str">
        <f t="array" ref="H1179">IF(ISBLANK(E1179), "", INDEX(Categories!$B:$B,MATCH(E1179,Categories!$A:$A,0)))</f>
        <v/>
      </c>
      <c r="I1179" s="7" t="str">
        <f t="array" ref="I1179">IF(ISBLANK(F1179), "", INDEX(Categories!$B:$B,MATCH(F1179,Categories!$A:$A,0)))</f>
        <v/>
      </c>
      <c r="J1179" s="4"/>
      <c r="K1179" s="4"/>
      <c r="L1179" s="4"/>
      <c r="M1179" s="4"/>
      <c r="N1179" s="4"/>
      <c r="O1179" s="4"/>
      <c r="P1179" s="4"/>
      <c r="Q1179" s="4"/>
    </row>
    <row r="1180">
      <c r="A1180" s="5">
        <v>1179.0</v>
      </c>
      <c r="B1180" s="5" t="s">
        <v>1554</v>
      </c>
      <c r="C1180" s="5" t="s">
        <v>1538</v>
      </c>
      <c r="D1180" s="6">
        <f>IFERROR(__xludf.DUMMYFUNCTION("SPLIT(MID(C1180,2,LEN(C1180)-2), "","")"),1413.0)</f>
        <v>1413</v>
      </c>
      <c r="E1180" s="7"/>
      <c r="F1180" s="7"/>
      <c r="G1180" s="2" t="str">
        <f t="array" ref="G1180">IF(ISBLANK(D1180), "", INDEX(Categories!$B:$B,MATCH(D1180,Categories!$A:$A,0)))</f>
        <v>Schools Business Vocational &amp; Trade</v>
      </c>
      <c r="H1180" s="7" t="str">
        <f t="array" ref="H1180">IF(ISBLANK(E1180), "", INDEX(Categories!$B:$B,MATCH(E1180,Categories!$A:$A,0)))</f>
        <v/>
      </c>
      <c r="I1180" s="7" t="str">
        <f t="array" ref="I1180">IF(ISBLANK(F1180), "", INDEX(Categories!$B:$B,MATCH(F1180,Categories!$A:$A,0)))</f>
        <v/>
      </c>
      <c r="J1180" s="4"/>
      <c r="K1180" s="4"/>
      <c r="L1180" s="4"/>
      <c r="M1180" s="4"/>
      <c r="N1180" s="4"/>
      <c r="O1180" s="4"/>
      <c r="P1180" s="4"/>
      <c r="Q1180" s="4"/>
    </row>
    <row r="1181">
      <c r="A1181" s="5">
        <v>1180.0</v>
      </c>
      <c r="B1181" s="5" t="s">
        <v>1555</v>
      </c>
      <c r="C1181" s="5" t="s">
        <v>303</v>
      </c>
      <c r="D1181" s="6">
        <f>IFERROR(__xludf.DUMMYFUNCTION("SPLIT(MID(C1181,2,LEN(C1181)-2), "","")"),1241.0)</f>
        <v>1241</v>
      </c>
      <c r="E1181" s="7"/>
      <c r="F1181" s="7"/>
      <c r="G1181" s="2" t="str">
        <f t="array" ref="G1181">IF(ISBLANK(D1181), "", INDEX(Categories!$B:$B,MATCH(D1181,Categories!$A:$A,0)))</f>
        <v>Clothing &amp; Accessories</v>
      </c>
      <c r="H1181" s="7" t="str">
        <f t="array" ref="H1181">IF(ISBLANK(E1181), "", INDEX(Categories!$B:$B,MATCH(E1181,Categories!$A:$A,0)))</f>
        <v/>
      </c>
      <c r="I1181" s="7" t="str">
        <f t="array" ref="I1181">IF(ISBLANK(F1181), "", INDEX(Categories!$B:$B,MATCH(F1181,Categories!$A:$A,0)))</f>
        <v/>
      </c>
      <c r="J1181" s="4"/>
      <c r="K1181" s="4"/>
      <c r="L1181" s="4"/>
      <c r="M1181" s="4"/>
      <c r="N1181" s="4"/>
      <c r="O1181" s="4"/>
      <c r="P1181" s="4"/>
      <c r="Q1181" s="4"/>
    </row>
    <row r="1182">
      <c r="A1182" s="5">
        <v>1181.0</v>
      </c>
      <c r="B1182" s="5" t="s">
        <v>1556</v>
      </c>
      <c r="C1182" s="5" t="s">
        <v>12</v>
      </c>
      <c r="D1182" s="6">
        <f>IFERROR(__xludf.DUMMYFUNCTION("SPLIT(MID(C1182,2,LEN(C1182)-2), "","")"),469.0)</f>
        <v>469</v>
      </c>
      <c r="E1182" s="7"/>
      <c r="F1182" s="7"/>
      <c r="G1182" s="2" t="str">
        <f t="array" ref="G1182">IF(ISBLANK(D1182), "", INDEX(Categories!$B:$B,MATCH(D1182,Categories!$A:$A,0)))</f>
        <v>Automobile - Repairs &amp; Services</v>
      </c>
      <c r="H1182" s="7" t="str">
        <f t="array" ref="H1182">IF(ISBLANK(E1182), "", INDEX(Categories!$B:$B,MATCH(E1182,Categories!$A:$A,0)))</f>
        <v/>
      </c>
      <c r="I1182" s="7" t="str">
        <f t="array" ref="I1182">IF(ISBLANK(F1182), "", INDEX(Categories!$B:$B,MATCH(F1182,Categories!$A:$A,0)))</f>
        <v/>
      </c>
      <c r="J1182" s="4"/>
      <c r="K1182" s="4"/>
      <c r="L1182" s="4"/>
      <c r="M1182" s="4"/>
      <c r="N1182" s="4"/>
      <c r="O1182" s="4"/>
      <c r="P1182" s="4"/>
      <c r="Q1182" s="4"/>
    </row>
    <row r="1183">
      <c r="A1183" s="5">
        <v>1182.0</v>
      </c>
      <c r="B1183" s="5" t="s">
        <v>1557</v>
      </c>
      <c r="C1183" s="5" t="s">
        <v>1558</v>
      </c>
      <c r="D1183" s="6">
        <f>IFERROR(__xludf.DUMMYFUNCTION("SPLIT(MID(C1183,2,LEN(C1183)-2), "","")"),2560.0)</f>
        <v>2560</v>
      </c>
      <c r="E1183" s="7"/>
      <c r="F1183" s="7"/>
      <c r="G1183" s="2" t="str">
        <f t="array" ref="G1183">IF(ISBLANK(D1183), "", INDEX(Categories!$B:$B,MATCH(D1183,Categories!$A:$A,0)))</f>
        <v>Office Cleaning Service</v>
      </c>
      <c r="H1183" s="7" t="str">
        <f t="array" ref="H1183">IF(ISBLANK(E1183), "", INDEX(Categories!$B:$B,MATCH(E1183,Categories!$A:$A,0)))</f>
        <v/>
      </c>
      <c r="I1183" s="7" t="str">
        <f t="array" ref="I1183">IF(ISBLANK(F1183), "", INDEX(Categories!$B:$B,MATCH(F1183,Categories!$A:$A,0)))</f>
        <v/>
      </c>
      <c r="J1183" s="4"/>
      <c r="K1183" s="4"/>
      <c r="L1183" s="4"/>
      <c r="M1183" s="4"/>
      <c r="N1183" s="4"/>
      <c r="O1183" s="4"/>
      <c r="P1183" s="4"/>
      <c r="Q1183" s="4"/>
    </row>
    <row r="1184">
      <c r="A1184" s="5">
        <v>1183.0</v>
      </c>
      <c r="B1184" s="5" t="s">
        <v>1559</v>
      </c>
      <c r="C1184" s="5" t="s">
        <v>775</v>
      </c>
      <c r="D1184" s="6">
        <f>IFERROR(__xludf.DUMMYFUNCTION("SPLIT(MID(C1184,2,LEN(C1184)-2), "","")"),2785.0)</f>
        <v>2785</v>
      </c>
      <c r="E1184" s="7"/>
      <c r="F1184" s="7"/>
      <c r="G1184" s="2" t="str">
        <f t="array" ref="G1184">IF(ISBLANK(D1184), "", INDEX(Categories!$B:$B,MATCH(D1184,Categories!$A:$A,0)))</f>
        <v>Home Improvement Centers</v>
      </c>
      <c r="H1184" s="7" t="str">
        <f t="array" ref="H1184">IF(ISBLANK(E1184), "", INDEX(Categories!$B:$B,MATCH(E1184,Categories!$A:$A,0)))</f>
        <v/>
      </c>
      <c r="I1184" s="7" t="str">
        <f t="array" ref="I1184">IF(ISBLANK(F1184), "", INDEX(Categories!$B:$B,MATCH(F1184,Categories!$A:$A,0)))</f>
        <v/>
      </c>
      <c r="J1184" s="4"/>
      <c r="K1184" s="4"/>
      <c r="L1184" s="4"/>
      <c r="M1184" s="4"/>
      <c r="N1184" s="4"/>
      <c r="O1184" s="4"/>
      <c r="P1184" s="4"/>
      <c r="Q1184" s="4"/>
    </row>
    <row r="1185">
      <c r="A1185" s="5">
        <v>1184.0</v>
      </c>
      <c r="B1185" s="5" t="s">
        <v>1560</v>
      </c>
      <c r="C1185" s="5" t="s">
        <v>164</v>
      </c>
      <c r="D1185" s="6">
        <f>IFERROR(__xludf.DUMMYFUNCTION("SPLIT(MID(C1185,2,LEN(C1185)-2), "","")"),243.0)</f>
        <v>243</v>
      </c>
      <c r="E1185" s="7"/>
      <c r="F1185" s="7"/>
      <c r="G1185" s="2" t="str">
        <f t="array" ref="G1185">IF(ISBLANK(D1185), "", INDEX(Categories!$B:$B,MATCH(D1185,Categories!$A:$A,0)))</f>
        <v>Restaurants Seafood</v>
      </c>
      <c r="H1185" s="7" t="str">
        <f t="array" ref="H1185">IF(ISBLANK(E1185), "", INDEX(Categories!$B:$B,MATCH(E1185,Categories!$A:$A,0)))</f>
        <v/>
      </c>
      <c r="I1185" s="7" t="str">
        <f t="array" ref="I1185">IF(ISBLANK(F1185), "", INDEX(Categories!$B:$B,MATCH(F1185,Categories!$A:$A,0)))</f>
        <v/>
      </c>
      <c r="J1185" s="4"/>
      <c r="K1185" s="4"/>
      <c r="L1185" s="4"/>
      <c r="M1185" s="4"/>
      <c r="N1185" s="4"/>
      <c r="O1185" s="4"/>
      <c r="P1185" s="4"/>
      <c r="Q1185" s="4"/>
    </row>
    <row r="1186">
      <c r="A1186" s="5">
        <v>1185.0</v>
      </c>
      <c r="B1186" s="5" t="s">
        <v>1561</v>
      </c>
      <c r="C1186" s="5" t="s">
        <v>307</v>
      </c>
      <c r="D1186" s="6">
        <f>IFERROR(__xludf.DUMMYFUNCTION("SPLIT(MID(C1186,2,LEN(C1186)-2), "","")"),241.0)</f>
        <v>241</v>
      </c>
      <c r="E1186" s="7"/>
      <c r="F1186" s="7"/>
      <c r="G1186" s="2" t="str">
        <f t="array" ref="G1186">IF(ISBLANK(D1186), "", INDEX(Categories!$B:$B,MATCH(D1186,Categories!$A:$A,0)))</f>
        <v>Restaurants Mexican</v>
      </c>
      <c r="H1186" s="7" t="str">
        <f t="array" ref="H1186">IF(ISBLANK(E1186), "", INDEX(Categories!$B:$B,MATCH(E1186,Categories!$A:$A,0)))</f>
        <v/>
      </c>
      <c r="I1186" s="7" t="str">
        <f t="array" ref="I1186">IF(ISBLANK(F1186), "", INDEX(Categories!$B:$B,MATCH(F1186,Categories!$A:$A,0)))</f>
        <v/>
      </c>
      <c r="J1186" s="4"/>
      <c r="K1186" s="4"/>
      <c r="L1186" s="4"/>
      <c r="M1186" s="4"/>
      <c r="N1186" s="4"/>
      <c r="O1186" s="4"/>
      <c r="P1186" s="4"/>
      <c r="Q1186" s="4"/>
    </row>
    <row r="1187">
      <c r="A1187" s="5">
        <v>1186.0</v>
      </c>
      <c r="B1187" s="5" t="s">
        <v>1562</v>
      </c>
      <c r="C1187" s="5" t="s">
        <v>1563</v>
      </c>
      <c r="D1187" s="6">
        <f>IFERROR(__xludf.DUMMYFUNCTION("SPLIT(MID(C1187,2,LEN(C1187)-2), "","")"),1982.0)</f>
        <v>1982</v>
      </c>
      <c r="E1187" s="7"/>
      <c r="F1187" s="7"/>
      <c r="G1187" s="2" t="str">
        <f t="array" ref="G1187">IF(ISBLANK(D1187), "", INDEX(Categories!$B:$B,MATCH(D1187,Categories!$A:$A,0)))</f>
        <v>Party Favors Supplies &amp; Services</v>
      </c>
      <c r="H1187" s="7" t="str">
        <f t="array" ref="H1187">IF(ISBLANK(E1187), "", INDEX(Categories!$B:$B,MATCH(E1187,Categories!$A:$A,0)))</f>
        <v/>
      </c>
      <c r="I1187" s="7" t="str">
        <f t="array" ref="I1187">IF(ISBLANK(F1187), "", INDEX(Categories!$B:$B,MATCH(F1187,Categories!$A:$A,0)))</f>
        <v/>
      </c>
      <c r="J1187" s="4"/>
      <c r="K1187" s="4"/>
      <c r="L1187" s="4"/>
      <c r="M1187" s="4"/>
      <c r="N1187" s="4"/>
      <c r="O1187" s="4"/>
      <c r="P1187" s="4"/>
      <c r="Q1187" s="4"/>
    </row>
    <row r="1188">
      <c r="A1188" s="5">
        <v>1187.0</v>
      </c>
      <c r="B1188" s="5" t="s">
        <v>1564</v>
      </c>
      <c r="C1188" s="5" t="s">
        <v>425</v>
      </c>
      <c r="D1188" s="6">
        <f>IFERROR(__xludf.DUMMYFUNCTION("SPLIT(MID(C1188,2,LEN(C1188)-2), "","")"),1174.0)</f>
        <v>1174</v>
      </c>
      <c r="E1188" s="7"/>
      <c r="F1188" s="7"/>
      <c r="G1188" s="2" t="str">
        <f t="array" ref="G1188">IF(ISBLANK(D1188), "", INDEX(Categories!$B:$B,MATCH(D1188,Categories!$A:$A,0)))</f>
        <v>Cargo &amp; Freight Services</v>
      </c>
      <c r="H1188" s="7" t="str">
        <f t="array" ref="H1188">IF(ISBLANK(E1188), "", INDEX(Categories!$B:$B,MATCH(E1188,Categories!$A:$A,0)))</f>
        <v/>
      </c>
      <c r="I1188" s="7" t="str">
        <f t="array" ref="I1188">IF(ISBLANK(F1188), "", INDEX(Categories!$B:$B,MATCH(F1188,Categories!$A:$A,0)))</f>
        <v/>
      </c>
      <c r="J1188" s="4"/>
      <c r="K1188" s="4"/>
      <c r="L1188" s="4"/>
      <c r="M1188" s="4"/>
      <c r="N1188" s="4"/>
      <c r="O1188" s="4"/>
      <c r="P1188" s="4"/>
      <c r="Q1188" s="4"/>
    </row>
    <row r="1189">
      <c r="A1189" s="5">
        <v>1188.0</v>
      </c>
      <c r="B1189" s="5" t="s">
        <v>1565</v>
      </c>
      <c r="C1189" s="5" t="s">
        <v>1497</v>
      </c>
      <c r="D1189" s="6">
        <f>IFERROR(__xludf.DUMMYFUNCTION("SPLIT(MID(C1189,2,LEN(C1189)-2), "","")"),2880.0)</f>
        <v>2880</v>
      </c>
      <c r="E1189" s="7"/>
      <c r="F1189" s="7"/>
      <c r="G1189" s="2" t="str">
        <f t="array" ref="G1189">IF(ISBLANK(D1189), "", INDEX(Categories!$B:$B,MATCH(D1189,Categories!$A:$A,0)))</f>
        <v>Home Inspection Service</v>
      </c>
      <c r="H1189" s="7" t="str">
        <f t="array" ref="H1189">IF(ISBLANK(E1189), "", INDEX(Categories!$B:$B,MATCH(E1189,Categories!$A:$A,0)))</f>
        <v/>
      </c>
      <c r="I1189" s="7" t="str">
        <f t="array" ref="I1189">IF(ISBLANK(F1189), "", INDEX(Categories!$B:$B,MATCH(F1189,Categories!$A:$A,0)))</f>
        <v/>
      </c>
      <c r="J1189" s="4"/>
      <c r="K1189" s="4"/>
      <c r="L1189" s="4"/>
      <c r="M1189" s="4"/>
      <c r="N1189" s="4"/>
      <c r="O1189" s="4"/>
      <c r="P1189" s="4"/>
      <c r="Q1189" s="4"/>
    </row>
    <row r="1190">
      <c r="A1190" s="5">
        <v>1189.0</v>
      </c>
      <c r="B1190" s="5" t="s">
        <v>1566</v>
      </c>
      <c r="C1190" s="5" t="s">
        <v>62</v>
      </c>
      <c r="D1190" s="6">
        <f>IFERROR(__xludf.DUMMYFUNCTION("SPLIT(MID(C1190,2,LEN(C1190)-2), "","")"),242.0)</f>
        <v>242</v>
      </c>
      <c r="E1190" s="7"/>
      <c r="F1190" s="7"/>
      <c r="G1190" s="2" t="str">
        <f t="array" ref="G1190">IF(ISBLANK(D1190), "", INDEX(Categories!$B:$B,MATCH(D1190,Categories!$A:$A,0)))</f>
        <v>Restaurants Pizza</v>
      </c>
      <c r="H1190" s="7" t="str">
        <f t="array" ref="H1190">IF(ISBLANK(E1190), "", INDEX(Categories!$B:$B,MATCH(E1190,Categories!$A:$A,0)))</f>
        <v/>
      </c>
      <c r="I1190" s="7" t="str">
        <f t="array" ref="I1190">IF(ISBLANK(F1190), "", INDEX(Categories!$B:$B,MATCH(F1190,Categories!$A:$A,0)))</f>
        <v/>
      </c>
      <c r="J1190" s="4"/>
      <c r="K1190" s="4"/>
      <c r="L1190" s="4"/>
      <c r="M1190" s="4"/>
      <c r="N1190" s="4"/>
      <c r="O1190" s="4"/>
      <c r="P1190" s="4"/>
      <c r="Q1190" s="4"/>
    </row>
    <row r="1191">
      <c r="A1191" s="5">
        <v>1190.0</v>
      </c>
      <c r="B1191" s="5" t="s">
        <v>1567</v>
      </c>
      <c r="C1191" s="5" t="s">
        <v>693</v>
      </c>
      <c r="D1191" s="6">
        <f>IFERROR(__xludf.DUMMYFUNCTION("SPLIT(MID(C1191,2,LEN(C1191)-2), "","")"),1184.0)</f>
        <v>1184</v>
      </c>
      <c r="E1191" s="7"/>
      <c r="F1191" s="7"/>
      <c r="G1191" s="2" t="str">
        <f t="array" ref="G1191">IF(ISBLANK(D1191), "", INDEX(Categories!$B:$B,MATCH(D1191,Categories!$A:$A,0)))</f>
        <v>Transportation Brokers &amp; Consultants</v>
      </c>
      <c r="H1191" s="7" t="str">
        <f t="array" ref="H1191">IF(ISBLANK(E1191), "", INDEX(Categories!$B:$B,MATCH(E1191,Categories!$A:$A,0)))</f>
        <v/>
      </c>
      <c r="I1191" s="7" t="str">
        <f t="array" ref="I1191">IF(ISBLANK(F1191), "", INDEX(Categories!$B:$B,MATCH(F1191,Categories!$A:$A,0)))</f>
        <v/>
      </c>
      <c r="J1191" s="4"/>
      <c r="K1191" s="4"/>
      <c r="L1191" s="4"/>
      <c r="M1191" s="4"/>
      <c r="N1191" s="4"/>
      <c r="O1191" s="4"/>
      <c r="P1191" s="4"/>
      <c r="Q1191" s="4"/>
    </row>
    <row r="1192">
      <c r="A1192" s="5">
        <v>1191.0</v>
      </c>
      <c r="B1192" s="5" t="s">
        <v>1568</v>
      </c>
      <c r="C1192" s="5" t="s">
        <v>364</v>
      </c>
      <c r="D1192" s="6">
        <f>IFERROR(__xludf.DUMMYFUNCTION("SPLIT(MID(C1192,2,LEN(C1192)-2), "","")"),555.0)</f>
        <v>555</v>
      </c>
      <c r="E1192" s="7"/>
      <c r="F1192" s="7"/>
      <c r="G1192" s="2" t="str">
        <f t="array" ref="G1192">IF(ISBLANK(D1192), "", INDEX(Categories!$B:$B,MATCH(D1192,Categories!$A:$A,0)))</f>
        <v>Dry Cleaners</v>
      </c>
      <c r="H1192" s="7" t="str">
        <f t="array" ref="H1192">IF(ISBLANK(E1192), "", INDEX(Categories!$B:$B,MATCH(E1192,Categories!$A:$A,0)))</f>
        <v/>
      </c>
      <c r="I1192" s="7" t="str">
        <f t="array" ref="I1192">IF(ISBLANK(F1192), "", INDEX(Categories!$B:$B,MATCH(F1192,Categories!$A:$A,0)))</f>
        <v/>
      </c>
      <c r="J1192" s="4"/>
      <c r="K1192" s="4"/>
      <c r="L1192" s="4"/>
      <c r="M1192" s="4"/>
      <c r="N1192" s="4"/>
      <c r="O1192" s="4"/>
      <c r="P1192" s="4"/>
      <c r="Q1192" s="4"/>
    </row>
    <row r="1193">
      <c r="A1193" s="5">
        <v>1192.0</v>
      </c>
      <c r="B1193" s="5" t="s">
        <v>1569</v>
      </c>
      <c r="C1193" s="5" t="s">
        <v>200</v>
      </c>
      <c r="D1193" s="6">
        <f>IFERROR(__xludf.DUMMYFUNCTION("SPLIT(MID(C1193,2,LEN(C1193)-2), "","")"),316.0)</f>
        <v>316</v>
      </c>
      <c r="E1193" s="7"/>
      <c r="F1193" s="7"/>
      <c r="G1193" s="2" t="str">
        <f t="array" ref="G1193">IF(ISBLANK(D1193), "", INDEX(Categories!$B:$B,MATCH(D1193,Categories!$A:$A,0)))</f>
        <v>Sporting Goods</v>
      </c>
      <c r="H1193" s="7" t="str">
        <f t="array" ref="H1193">IF(ISBLANK(E1193), "", INDEX(Categories!$B:$B,MATCH(E1193,Categories!$A:$A,0)))</f>
        <v/>
      </c>
      <c r="I1193" s="7" t="str">
        <f t="array" ref="I1193">IF(ISBLANK(F1193), "", INDEX(Categories!$B:$B,MATCH(F1193,Categories!$A:$A,0)))</f>
        <v/>
      </c>
      <c r="J1193" s="4"/>
      <c r="K1193" s="4"/>
      <c r="L1193" s="4"/>
      <c r="M1193" s="4"/>
      <c r="N1193" s="4"/>
      <c r="O1193" s="4"/>
      <c r="P1193" s="4"/>
      <c r="Q1193" s="4"/>
    </row>
    <row r="1194">
      <c r="A1194" s="5">
        <v>1193.0</v>
      </c>
      <c r="B1194" s="5" t="s">
        <v>1570</v>
      </c>
      <c r="C1194" s="5" t="s">
        <v>20</v>
      </c>
      <c r="D1194" s="6">
        <f>IFERROR(__xludf.DUMMYFUNCTION("SPLIT(MID(C1194,2,LEN(C1194)-2), "","")"),1213.0)</f>
        <v>1213</v>
      </c>
      <c r="E1194" s="7"/>
      <c r="F1194" s="7"/>
      <c r="G1194" s="2" t="str">
        <f t="array" ref="G1194">IF(ISBLANK(D1194), "", INDEX(Categories!$B:$B,MATCH(D1194,Categories!$A:$A,0)))</f>
        <v>Social Service Organizations</v>
      </c>
      <c r="H1194" s="7" t="str">
        <f t="array" ref="H1194">IF(ISBLANK(E1194), "", INDEX(Categories!$B:$B,MATCH(E1194,Categories!$A:$A,0)))</f>
        <v/>
      </c>
      <c r="I1194" s="7" t="str">
        <f t="array" ref="I1194">IF(ISBLANK(F1194), "", INDEX(Categories!$B:$B,MATCH(F1194,Categories!$A:$A,0)))</f>
        <v/>
      </c>
      <c r="J1194" s="4"/>
      <c r="K1194" s="4"/>
      <c r="L1194" s="4"/>
      <c r="M1194" s="4"/>
      <c r="N1194" s="4"/>
      <c r="O1194" s="4"/>
      <c r="P1194" s="4"/>
      <c r="Q1194" s="4"/>
    </row>
    <row r="1195">
      <c r="A1195" s="5">
        <v>1194.0</v>
      </c>
      <c r="B1195" s="5" t="s">
        <v>1571</v>
      </c>
      <c r="C1195" s="5" t="s">
        <v>87</v>
      </c>
      <c r="D1195" s="6">
        <f>IFERROR(__xludf.DUMMYFUNCTION("SPLIT(MID(C1195,2,LEN(C1195)-2), "","")"),168.0)</f>
        <v>168</v>
      </c>
      <c r="E1195" s="7"/>
      <c r="F1195" s="7"/>
      <c r="G1195" s="2" t="str">
        <f t="array" ref="G1195">IF(ISBLANK(D1195), "", INDEX(Categories!$B:$B,MATCH(D1195,Categories!$A:$A,0)))</f>
        <v>Hotels &amp; Motels</v>
      </c>
      <c r="H1195" s="7" t="str">
        <f t="array" ref="H1195">IF(ISBLANK(E1195), "", INDEX(Categories!$B:$B,MATCH(E1195,Categories!$A:$A,0)))</f>
        <v/>
      </c>
      <c r="I1195" s="7" t="str">
        <f t="array" ref="I1195">IF(ISBLANK(F1195), "", INDEX(Categories!$B:$B,MATCH(F1195,Categories!$A:$A,0)))</f>
        <v/>
      </c>
      <c r="J1195" s="4"/>
      <c r="K1195" s="4"/>
      <c r="L1195" s="4"/>
      <c r="M1195" s="4"/>
      <c r="N1195" s="4"/>
      <c r="O1195" s="4"/>
      <c r="P1195" s="4"/>
      <c r="Q1195" s="4"/>
    </row>
    <row r="1196">
      <c r="A1196" s="5">
        <v>1195.0</v>
      </c>
      <c r="B1196" s="5" t="s">
        <v>1572</v>
      </c>
      <c r="C1196" s="5" t="s">
        <v>96</v>
      </c>
      <c r="D1196" s="6">
        <f>IFERROR(__xludf.DUMMYFUNCTION("SPLIT(MID(C1196,2,LEN(C1196)-2), "","")"),572.0)</f>
        <v>572</v>
      </c>
      <c r="E1196" s="7"/>
      <c r="F1196" s="7"/>
      <c r="G1196" s="2" t="str">
        <f t="array" ref="G1196">IF(ISBLANK(D1196), "", INDEX(Categories!$B:$B,MATCH(D1196,Categories!$A:$A,0)))</f>
        <v>Groceries</v>
      </c>
      <c r="H1196" s="7" t="str">
        <f t="array" ref="H1196">IF(ISBLANK(E1196), "", INDEX(Categories!$B:$B,MATCH(E1196,Categories!$A:$A,0)))</f>
        <v/>
      </c>
      <c r="I1196" s="7" t="str">
        <f t="array" ref="I1196">IF(ISBLANK(F1196), "", INDEX(Categories!$B:$B,MATCH(F1196,Categories!$A:$A,0)))</f>
        <v/>
      </c>
      <c r="J1196" s="4"/>
      <c r="K1196" s="4"/>
      <c r="L1196" s="4"/>
      <c r="M1196" s="4"/>
      <c r="N1196" s="4"/>
      <c r="O1196" s="4"/>
      <c r="P1196" s="4"/>
      <c r="Q1196" s="4"/>
    </row>
    <row r="1197">
      <c r="A1197" s="5">
        <v>1196.0</v>
      </c>
      <c r="B1197" s="5" t="s">
        <v>1573</v>
      </c>
      <c r="C1197" s="5" t="s">
        <v>309</v>
      </c>
      <c r="D1197" s="6">
        <f>IFERROR(__xludf.DUMMYFUNCTION("SPLIT(MID(C1197,2,LEN(C1197)-2), "","")"),458.0)</f>
        <v>458</v>
      </c>
      <c r="E1197" s="7"/>
      <c r="F1197" s="7"/>
      <c r="G1197" s="2" t="str">
        <f t="array" ref="G1197">IF(ISBLANK(D1197), "", INDEX(Categories!$B:$B,MATCH(D1197,Categories!$A:$A,0)))</f>
        <v>Real Estate - Brokers &amp; Agents</v>
      </c>
      <c r="H1197" s="7" t="str">
        <f t="array" ref="H1197">IF(ISBLANK(E1197), "", INDEX(Categories!$B:$B,MATCH(E1197,Categories!$A:$A,0)))</f>
        <v/>
      </c>
      <c r="I1197" s="7" t="str">
        <f t="array" ref="I1197">IF(ISBLANK(F1197), "", INDEX(Categories!$B:$B,MATCH(F1197,Categories!$A:$A,0)))</f>
        <v/>
      </c>
      <c r="J1197" s="4"/>
      <c r="K1197" s="4"/>
      <c r="L1197" s="4"/>
      <c r="M1197" s="4"/>
      <c r="N1197" s="4"/>
      <c r="O1197" s="4"/>
      <c r="P1197" s="4"/>
      <c r="Q1197" s="4"/>
    </row>
    <row r="1198">
      <c r="A1198" s="5">
        <v>1197.0</v>
      </c>
      <c r="B1198" s="5" t="s">
        <v>1574</v>
      </c>
      <c r="C1198" s="5" t="s">
        <v>1344</v>
      </c>
      <c r="D1198" s="6">
        <f>IFERROR(__xludf.DUMMYFUNCTION("SPLIT(MID(C1198,2,LEN(C1198)-2), "","")"),2674.0)</f>
        <v>2674</v>
      </c>
      <c r="E1198" s="7"/>
      <c r="F1198" s="7"/>
      <c r="G1198" s="2" t="str">
        <f t="array" ref="G1198">IF(ISBLANK(D1198), "", INDEX(Categories!$B:$B,MATCH(D1198,Categories!$A:$A,0)))</f>
        <v>Home Improvement &amp; Remodeling Services</v>
      </c>
      <c r="H1198" s="7" t="str">
        <f t="array" ref="H1198">IF(ISBLANK(E1198), "", INDEX(Categories!$B:$B,MATCH(E1198,Categories!$A:$A,0)))</f>
        <v/>
      </c>
      <c r="I1198" s="7" t="str">
        <f t="array" ref="I1198">IF(ISBLANK(F1198), "", INDEX(Categories!$B:$B,MATCH(F1198,Categories!$A:$A,0)))</f>
        <v/>
      </c>
      <c r="J1198" s="4"/>
      <c r="K1198" s="4"/>
      <c r="L1198" s="4"/>
      <c r="M1198" s="4"/>
      <c r="N1198" s="4"/>
      <c r="O1198" s="4"/>
      <c r="P1198" s="4"/>
      <c r="Q1198" s="4"/>
    </row>
    <row r="1199">
      <c r="A1199" s="5">
        <v>1198.0</v>
      </c>
      <c r="B1199" s="5" t="s">
        <v>1575</v>
      </c>
      <c r="C1199" s="5" t="s">
        <v>1576</v>
      </c>
      <c r="D1199" s="6">
        <f>IFERROR(__xludf.DUMMYFUNCTION("SPLIT(MID(C1199,2,LEN(C1199)-2), "","")"),2496.0)</f>
        <v>2496</v>
      </c>
      <c r="E1199" s="7"/>
      <c r="F1199" s="7"/>
      <c r="G1199" s="2" t="str">
        <f t="array" ref="G1199">IF(ISBLANK(D1199), "", INDEX(Categories!$B:$B,MATCH(D1199,Categories!$A:$A,0)))</f>
        <v>Professional Organizations</v>
      </c>
      <c r="H1199" s="7" t="str">
        <f t="array" ref="H1199">IF(ISBLANK(E1199), "", INDEX(Categories!$B:$B,MATCH(E1199,Categories!$A:$A,0)))</f>
        <v/>
      </c>
      <c r="I1199" s="7" t="str">
        <f t="array" ref="I1199">IF(ISBLANK(F1199), "", INDEX(Categories!$B:$B,MATCH(F1199,Categories!$A:$A,0)))</f>
        <v/>
      </c>
      <c r="J1199" s="4"/>
      <c r="K1199" s="4"/>
      <c r="L1199" s="4"/>
      <c r="M1199" s="4"/>
      <c r="N1199" s="4"/>
      <c r="O1199" s="4"/>
      <c r="P1199" s="4"/>
      <c r="Q1199" s="4"/>
    </row>
    <row r="1200">
      <c r="A1200" s="5">
        <v>1199.0</v>
      </c>
      <c r="B1200" s="5" t="s">
        <v>1577</v>
      </c>
      <c r="C1200" s="5" t="s">
        <v>34</v>
      </c>
      <c r="D1200" s="6">
        <f>IFERROR(__xludf.DUMMYFUNCTION("SPLIT(MID(C1200,2,LEN(C1200)-2), "","")"),228.0)</f>
        <v>228</v>
      </c>
      <c r="E1200" s="7"/>
      <c r="F1200" s="7"/>
      <c r="G1200" s="2" t="str">
        <f t="array" ref="G1200">IF(ISBLANK(D1200), "", INDEX(Categories!$B:$B,MATCH(D1200,Categories!$A:$A,0)))</f>
        <v>Restaurants</v>
      </c>
      <c r="H1200" s="7" t="str">
        <f t="array" ref="H1200">IF(ISBLANK(E1200), "", INDEX(Categories!$B:$B,MATCH(E1200,Categories!$A:$A,0)))</f>
        <v/>
      </c>
      <c r="I1200" s="7" t="str">
        <f t="array" ref="I1200">IF(ISBLANK(F1200), "", INDEX(Categories!$B:$B,MATCH(F1200,Categories!$A:$A,0)))</f>
        <v/>
      </c>
      <c r="J1200" s="4"/>
      <c r="K1200" s="4"/>
      <c r="L1200" s="4"/>
      <c r="M1200" s="4"/>
      <c r="N1200" s="4"/>
      <c r="O1200" s="4"/>
      <c r="P1200" s="4"/>
      <c r="Q1200" s="4"/>
    </row>
    <row r="1201">
      <c r="A1201" s="5">
        <v>1200.0</v>
      </c>
      <c r="B1201" s="5" t="s">
        <v>1578</v>
      </c>
      <c r="C1201" s="5" t="s">
        <v>217</v>
      </c>
      <c r="D1201" s="6">
        <f>IFERROR(__xludf.DUMMYFUNCTION("SPLIT(MID(C1201,2,LEN(C1201)-2), "","")"),147.0)</f>
        <v>147</v>
      </c>
      <c r="E1201" s="7"/>
      <c r="F1201" s="7"/>
      <c r="G1201" s="2" t="str">
        <f t="array" ref="G1201">IF(ISBLANK(D1201), "", INDEX(Categories!$B:$B,MATCH(D1201,Categories!$A:$A,0)))</f>
        <v>Contractors - Plumbers &amp; Plumbing</v>
      </c>
      <c r="H1201" s="7" t="str">
        <f t="array" ref="H1201">IF(ISBLANK(E1201), "", INDEX(Categories!$B:$B,MATCH(E1201,Categories!$A:$A,0)))</f>
        <v/>
      </c>
      <c r="I1201" s="7" t="str">
        <f t="array" ref="I1201">IF(ISBLANK(F1201), "", INDEX(Categories!$B:$B,MATCH(F1201,Categories!$A:$A,0)))</f>
        <v/>
      </c>
      <c r="J1201" s="4"/>
      <c r="K1201" s="4"/>
      <c r="L1201" s="4"/>
      <c r="M1201" s="4"/>
      <c r="N1201" s="4"/>
      <c r="O1201" s="4"/>
      <c r="P1201" s="4"/>
      <c r="Q1201" s="4"/>
    </row>
    <row r="1202">
      <c r="A1202" s="5">
        <v>1201.0</v>
      </c>
      <c r="B1202" s="5" t="s">
        <v>1579</v>
      </c>
      <c r="C1202" s="5" t="s">
        <v>102</v>
      </c>
      <c r="D1202" s="6">
        <f>IFERROR(__xludf.DUMMYFUNCTION("SPLIT(MID(C1202,2,LEN(C1202)-2), "","")"),298.0)</f>
        <v>298</v>
      </c>
      <c r="E1202" s="7"/>
      <c r="F1202" s="7"/>
      <c r="G1202" s="2" t="str">
        <f t="array" ref="G1202">IF(ISBLANK(D1202), "", INDEX(Categories!$B:$B,MATCH(D1202,Categories!$A:$A,0)))</f>
        <v>Financial Services</v>
      </c>
      <c r="H1202" s="7" t="str">
        <f t="array" ref="H1202">IF(ISBLANK(E1202), "", INDEX(Categories!$B:$B,MATCH(E1202,Categories!$A:$A,0)))</f>
        <v/>
      </c>
      <c r="I1202" s="7" t="str">
        <f t="array" ref="I1202">IF(ISBLANK(F1202), "", INDEX(Categories!$B:$B,MATCH(F1202,Categories!$A:$A,0)))</f>
        <v/>
      </c>
      <c r="J1202" s="4"/>
      <c r="K1202" s="4"/>
      <c r="L1202" s="4"/>
      <c r="M1202" s="4"/>
      <c r="N1202" s="4"/>
      <c r="O1202" s="4"/>
      <c r="P1202" s="4"/>
      <c r="Q1202" s="4"/>
    </row>
    <row r="1203">
      <c r="A1203" s="5">
        <v>1202.0</v>
      </c>
      <c r="B1203" s="5" t="s">
        <v>1580</v>
      </c>
      <c r="C1203" s="5" t="s">
        <v>139</v>
      </c>
      <c r="D1203" s="6">
        <f>IFERROR(__xludf.DUMMYFUNCTION("SPLIT(MID(C1203,2,LEN(C1203)-2), "","")"),1617.0)</f>
        <v>1617</v>
      </c>
      <c r="E1203" s="7"/>
      <c r="F1203" s="7"/>
      <c r="G1203" s="2" t="str">
        <f t="array" ref="G1203">IF(ISBLANK(D1203), "", INDEX(Categories!$B:$B,MATCH(D1203,Categories!$A:$A,0)))</f>
        <v>Department Stores</v>
      </c>
      <c r="H1203" s="7" t="str">
        <f t="array" ref="H1203">IF(ISBLANK(E1203), "", INDEX(Categories!$B:$B,MATCH(E1203,Categories!$A:$A,0)))</f>
        <v/>
      </c>
      <c r="I1203" s="7" t="str">
        <f t="array" ref="I1203">IF(ISBLANK(F1203), "", INDEX(Categories!$B:$B,MATCH(F1203,Categories!$A:$A,0)))</f>
        <v/>
      </c>
      <c r="J1203" s="4"/>
      <c r="K1203" s="4"/>
      <c r="L1203" s="4"/>
      <c r="M1203" s="4"/>
      <c r="N1203" s="4"/>
      <c r="O1203" s="4"/>
      <c r="P1203" s="4"/>
      <c r="Q1203" s="4"/>
    </row>
    <row r="1204">
      <c r="A1204" s="5">
        <v>1203.0</v>
      </c>
      <c r="B1204" s="5" t="s">
        <v>1581</v>
      </c>
      <c r="C1204" s="5" t="s">
        <v>34</v>
      </c>
      <c r="D1204" s="6">
        <f>IFERROR(__xludf.DUMMYFUNCTION("SPLIT(MID(C1204,2,LEN(C1204)-2), "","")"),228.0)</f>
        <v>228</v>
      </c>
      <c r="E1204" s="7"/>
      <c r="F1204" s="7"/>
      <c r="G1204" s="2" t="str">
        <f t="array" ref="G1204">IF(ISBLANK(D1204), "", INDEX(Categories!$B:$B,MATCH(D1204,Categories!$A:$A,0)))</f>
        <v>Restaurants</v>
      </c>
      <c r="H1204" s="7" t="str">
        <f t="array" ref="H1204">IF(ISBLANK(E1204), "", INDEX(Categories!$B:$B,MATCH(E1204,Categories!$A:$A,0)))</f>
        <v/>
      </c>
      <c r="I1204" s="7" t="str">
        <f t="array" ref="I1204">IF(ISBLANK(F1204), "", INDEX(Categories!$B:$B,MATCH(F1204,Categories!$A:$A,0)))</f>
        <v/>
      </c>
      <c r="J1204" s="4"/>
      <c r="K1204" s="4"/>
      <c r="L1204" s="4"/>
      <c r="M1204" s="4"/>
      <c r="N1204" s="4"/>
      <c r="O1204" s="4"/>
      <c r="P1204" s="4"/>
      <c r="Q1204" s="4"/>
    </row>
    <row r="1205">
      <c r="A1205" s="5">
        <v>1204.0</v>
      </c>
      <c r="B1205" s="5" t="s">
        <v>1092</v>
      </c>
      <c r="C1205" s="5" t="s">
        <v>1109</v>
      </c>
      <c r="D1205" s="6">
        <f>IFERROR(__xludf.DUMMYFUNCTION("SPLIT(MID(C1205,2,LEN(C1205)-2), "","")"),45.0)</f>
        <v>45</v>
      </c>
      <c r="E1205" s="7"/>
      <c r="F1205" s="7"/>
      <c r="G1205" s="2" t="str">
        <f t="array" ref="G1205">IF(ISBLANK(D1205), "", INDEX(Categories!$B:$B,MATCH(D1205,Categories!$A:$A,0)))</f>
        <v>Automobile - Parts &amp; Accessories</v>
      </c>
      <c r="H1205" s="7" t="str">
        <f t="array" ref="H1205">IF(ISBLANK(E1205), "", INDEX(Categories!$B:$B,MATCH(E1205,Categories!$A:$A,0)))</f>
        <v/>
      </c>
      <c r="I1205" s="7" t="str">
        <f t="array" ref="I1205">IF(ISBLANK(F1205), "", INDEX(Categories!$B:$B,MATCH(F1205,Categories!$A:$A,0)))</f>
        <v/>
      </c>
      <c r="J1205" s="4"/>
      <c r="K1205" s="4"/>
      <c r="L1205" s="4"/>
      <c r="M1205" s="4"/>
      <c r="N1205" s="4"/>
      <c r="O1205" s="4"/>
      <c r="P1205" s="4"/>
      <c r="Q1205" s="4"/>
    </row>
    <row r="1206">
      <c r="A1206" s="5">
        <v>1205.0</v>
      </c>
      <c r="B1206" s="5" t="s">
        <v>1582</v>
      </c>
      <c r="C1206" s="5" t="s">
        <v>1583</v>
      </c>
      <c r="D1206" s="6">
        <f>IFERROR(__xludf.DUMMYFUNCTION("SPLIT(MID(C1206,2,LEN(C1206)-2), "","")"),2804.0)</f>
        <v>2804</v>
      </c>
      <c r="E1206" s="7"/>
      <c r="F1206" s="7"/>
      <c r="G1206" s="2" t="str">
        <f t="array" ref="G1206">IF(ISBLANK(D1206), "", INDEX(Categories!$B:$B,MATCH(D1206,Categories!$A:$A,0)))</f>
        <v>Screens Door &amp; Window</v>
      </c>
      <c r="H1206" s="7" t="str">
        <f t="array" ref="H1206">IF(ISBLANK(E1206), "", INDEX(Categories!$B:$B,MATCH(E1206,Categories!$A:$A,0)))</f>
        <v/>
      </c>
      <c r="I1206" s="7" t="str">
        <f t="array" ref="I1206">IF(ISBLANK(F1206), "", INDEX(Categories!$B:$B,MATCH(F1206,Categories!$A:$A,0)))</f>
        <v/>
      </c>
      <c r="J1206" s="4"/>
      <c r="K1206" s="4"/>
      <c r="L1206" s="4"/>
      <c r="M1206" s="4"/>
      <c r="N1206" s="4"/>
      <c r="O1206" s="4"/>
      <c r="P1206" s="4"/>
      <c r="Q1206" s="4"/>
    </row>
    <row r="1207">
      <c r="A1207" s="5">
        <v>1206.0</v>
      </c>
      <c r="B1207" s="5" t="s">
        <v>1584</v>
      </c>
      <c r="C1207" s="5" t="s">
        <v>1585</v>
      </c>
      <c r="D1207" s="6">
        <f>IFERROR(__xludf.DUMMYFUNCTION("SPLIT(MID(C1207,2,LEN(C1207)-2), "","")"),579.0)</f>
        <v>579</v>
      </c>
      <c r="E1207" s="7"/>
      <c r="F1207" s="7"/>
      <c r="G1207" s="2" t="str">
        <f t="array" ref="G1207">IF(ISBLANK(D1207), "", INDEX(Categories!$B:$B,MATCH(D1207,Categories!$A:$A,0)))</f>
        <v>Chocolate &amp; Cocoa</v>
      </c>
      <c r="H1207" s="7" t="str">
        <f t="array" ref="H1207">IF(ISBLANK(E1207), "", INDEX(Categories!$B:$B,MATCH(E1207,Categories!$A:$A,0)))</f>
        <v/>
      </c>
      <c r="I1207" s="7" t="str">
        <f t="array" ref="I1207">IF(ISBLANK(F1207), "", INDEX(Categories!$B:$B,MATCH(F1207,Categories!$A:$A,0)))</f>
        <v/>
      </c>
      <c r="J1207" s="4"/>
      <c r="K1207" s="4"/>
      <c r="L1207" s="4"/>
      <c r="M1207" s="4"/>
      <c r="N1207" s="4"/>
      <c r="O1207" s="4"/>
      <c r="P1207" s="4"/>
      <c r="Q1207" s="4"/>
    </row>
    <row r="1208">
      <c r="A1208" s="5">
        <v>1207.0</v>
      </c>
      <c r="B1208" s="5" t="s">
        <v>1586</v>
      </c>
      <c r="C1208" s="5" t="s">
        <v>20</v>
      </c>
      <c r="D1208" s="6">
        <f>IFERROR(__xludf.DUMMYFUNCTION("SPLIT(MID(C1208,2,LEN(C1208)-2), "","")"),1213.0)</f>
        <v>1213</v>
      </c>
      <c r="E1208" s="7"/>
      <c r="F1208" s="7"/>
      <c r="G1208" s="2" t="str">
        <f t="array" ref="G1208">IF(ISBLANK(D1208), "", INDEX(Categories!$B:$B,MATCH(D1208,Categories!$A:$A,0)))</f>
        <v>Social Service Organizations</v>
      </c>
      <c r="H1208" s="7" t="str">
        <f t="array" ref="H1208">IF(ISBLANK(E1208), "", INDEX(Categories!$B:$B,MATCH(E1208,Categories!$A:$A,0)))</f>
        <v/>
      </c>
      <c r="I1208" s="7" t="str">
        <f t="array" ref="I1208">IF(ISBLANK(F1208), "", INDEX(Categories!$B:$B,MATCH(F1208,Categories!$A:$A,0)))</f>
        <v/>
      </c>
      <c r="J1208" s="4"/>
      <c r="K1208" s="4"/>
      <c r="L1208" s="4"/>
      <c r="M1208" s="4"/>
      <c r="N1208" s="4"/>
      <c r="O1208" s="4"/>
      <c r="P1208" s="4"/>
      <c r="Q1208" s="4"/>
    </row>
    <row r="1209">
      <c r="A1209" s="5">
        <v>1208.0</v>
      </c>
      <c r="B1209" s="5" t="s">
        <v>1587</v>
      </c>
      <c r="C1209" s="5" t="s">
        <v>96</v>
      </c>
      <c r="D1209" s="6">
        <f>IFERROR(__xludf.DUMMYFUNCTION("SPLIT(MID(C1209,2,LEN(C1209)-2), "","")"),572.0)</f>
        <v>572</v>
      </c>
      <c r="E1209" s="7"/>
      <c r="F1209" s="7"/>
      <c r="G1209" s="2" t="str">
        <f t="array" ref="G1209">IF(ISBLANK(D1209), "", INDEX(Categories!$B:$B,MATCH(D1209,Categories!$A:$A,0)))</f>
        <v>Groceries</v>
      </c>
      <c r="H1209" s="7" t="str">
        <f t="array" ref="H1209">IF(ISBLANK(E1209), "", INDEX(Categories!$B:$B,MATCH(E1209,Categories!$A:$A,0)))</f>
        <v/>
      </c>
      <c r="I1209" s="7" t="str">
        <f t="array" ref="I1209">IF(ISBLANK(F1209), "", INDEX(Categories!$B:$B,MATCH(F1209,Categories!$A:$A,0)))</f>
        <v/>
      </c>
      <c r="J1209" s="4"/>
      <c r="K1209" s="4"/>
      <c r="L1209" s="4"/>
      <c r="M1209" s="4"/>
      <c r="N1209" s="4"/>
      <c r="O1209" s="4"/>
      <c r="P1209" s="4"/>
      <c r="Q1209" s="4"/>
    </row>
    <row r="1210">
      <c r="A1210" s="5">
        <v>1209.0</v>
      </c>
      <c r="B1210" s="5" t="s">
        <v>1588</v>
      </c>
      <c r="C1210" s="5" t="s">
        <v>139</v>
      </c>
      <c r="D1210" s="6">
        <f>IFERROR(__xludf.DUMMYFUNCTION("SPLIT(MID(C1210,2,LEN(C1210)-2), "","")"),1617.0)</f>
        <v>1617</v>
      </c>
      <c r="E1210" s="7"/>
      <c r="F1210" s="7"/>
      <c r="G1210" s="2" t="str">
        <f t="array" ref="G1210">IF(ISBLANK(D1210), "", INDEX(Categories!$B:$B,MATCH(D1210,Categories!$A:$A,0)))</f>
        <v>Department Stores</v>
      </c>
      <c r="H1210" s="7" t="str">
        <f t="array" ref="H1210">IF(ISBLANK(E1210), "", INDEX(Categories!$B:$B,MATCH(E1210,Categories!$A:$A,0)))</f>
        <v/>
      </c>
      <c r="I1210" s="7" t="str">
        <f t="array" ref="I1210">IF(ISBLANK(F1210), "", INDEX(Categories!$B:$B,MATCH(F1210,Categories!$A:$A,0)))</f>
        <v/>
      </c>
      <c r="J1210" s="4"/>
      <c r="K1210" s="4"/>
      <c r="L1210" s="4"/>
      <c r="M1210" s="4"/>
      <c r="N1210" s="4"/>
      <c r="O1210" s="4"/>
      <c r="P1210" s="4"/>
      <c r="Q1210" s="4"/>
    </row>
    <row r="1211">
      <c r="A1211" s="5">
        <v>1210.0</v>
      </c>
      <c r="B1211" s="5" t="s">
        <v>1589</v>
      </c>
      <c r="C1211" s="5" t="s">
        <v>179</v>
      </c>
      <c r="D1211" s="6">
        <f>IFERROR(__xludf.DUMMYFUNCTION("SPLIT(MID(C1211,2,LEN(C1211)-2), "","")"),2247.0)</f>
        <v>2247</v>
      </c>
      <c r="E1211" s="7"/>
      <c r="F1211" s="7"/>
      <c r="G1211" s="2" t="str">
        <f t="array" ref="G1211">IF(ISBLANK(D1211), "", INDEX(Categories!$B:$B,MATCH(D1211,Categories!$A:$A,0)))</f>
        <v>Copying &amp; Duplicating Service</v>
      </c>
      <c r="H1211" s="7" t="str">
        <f t="array" ref="H1211">IF(ISBLANK(E1211), "", INDEX(Categories!$B:$B,MATCH(E1211,Categories!$A:$A,0)))</f>
        <v/>
      </c>
      <c r="I1211" s="7" t="str">
        <f t="array" ref="I1211">IF(ISBLANK(F1211), "", INDEX(Categories!$B:$B,MATCH(F1211,Categories!$A:$A,0)))</f>
        <v/>
      </c>
      <c r="J1211" s="4"/>
      <c r="K1211" s="4"/>
      <c r="L1211" s="4"/>
      <c r="M1211" s="4"/>
      <c r="N1211" s="4"/>
      <c r="O1211" s="4"/>
      <c r="P1211" s="4"/>
      <c r="Q1211" s="4"/>
    </row>
    <row r="1212">
      <c r="A1212" s="5">
        <v>1211.0</v>
      </c>
      <c r="B1212" s="5" t="s">
        <v>1590</v>
      </c>
      <c r="C1212" s="5" t="s">
        <v>12</v>
      </c>
      <c r="D1212" s="6">
        <f>IFERROR(__xludf.DUMMYFUNCTION("SPLIT(MID(C1212,2,LEN(C1212)-2), "","")"),469.0)</f>
        <v>469</v>
      </c>
      <c r="E1212" s="7"/>
      <c r="F1212" s="7"/>
      <c r="G1212" s="2" t="str">
        <f t="array" ref="G1212">IF(ISBLANK(D1212), "", INDEX(Categories!$B:$B,MATCH(D1212,Categories!$A:$A,0)))</f>
        <v>Automobile - Repairs &amp; Services</v>
      </c>
      <c r="H1212" s="7" t="str">
        <f t="array" ref="H1212">IF(ISBLANK(E1212), "", INDEX(Categories!$B:$B,MATCH(E1212,Categories!$A:$A,0)))</f>
        <v/>
      </c>
      <c r="I1212" s="7" t="str">
        <f t="array" ref="I1212">IF(ISBLANK(F1212), "", INDEX(Categories!$B:$B,MATCH(F1212,Categories!$A:$A,0)))</f>
        <v/>
      </c>
      <c r="J1212" s="4"/>
      <c r="K1212" s="4"/>
      <c r="L1212" s="4"/>
      <c r="M1212" s="4"/>
      <c r="N1212" s="4"/>
      <c r="O1212" s="4"/>
      <c r="P1212" s="4"/>
      <c r="Q1212" s="4"/>
    </row>
    <row r="1213">
      <c r="A1213" s="5">
        <v>1212.0</v>
      </c>
      <c r="B1213" s="5" t="s">
        <v>1591</v>
      </c>
      <c r="C1213" s="5" t="s">
        <v>34</v>
      </c>
      <c r="D1213" s="6">
        <f>IFERROR(__xludf.DUMMYFUNCTION("SPLIT(MID(C1213,2,LEN(C1213)-2), "","")"),228.0)</f>
        <v>228</v>
      </c>
      <c r="E1213" s="7"/>
      <c r="F1213" s="7"/>
      <c r="G1213" s="2" t="str">
        <f t="array" ref="G1213">IF(ISBLANK(D1213), "", INDEX(Categories!$B:$B,MATCH(D1213,Categories!$A:$A,0)))</f>
        <v>Restaurants</v>
      </c>
      <c r="H1213" s="7" t="str">
        <f t="array" ref="H1213">IF(ISBLANK(E1213), "", INDEX(Categories!$B:$B,MATCH(E1213,Categories!$A:$A,0)))</f>
        <v/>
      </c>
      <c r="I1213" s="7" t="str">
        <f t="array" ref="I1213">IF(ISBLANK(F1213), "", INDEX(Categories!$B:$B,MATCH(F1213,Categories!$A:$A,0)))</f>
        <v/>
      </c>
      <c r="J1213" s="4"/>
      <c r="K1213" s="4"/>
      <c r="L1213" s="4"/>
      <c r="M1213" s="4"/>
      <c r="N1213" s="4"/>
      <c r="O1213" s="4"/>
      <c r="P1213" s="4"/>
      <c r="Q1213" s="4"/>
    </row>
    <row r="1214">
      <c r="A1214" s="5">
        <v>1213.0</v>
      </c>
      <c r="B1214" s="5" t="s">
        <v>1592</v>
      </c>
      <c r="C1214" s="5" t="s">
        <v>1593</v>
      </c>
      <c r="D1214" s="6">
        <f>IFERROR(__xludf.DUMMYFUNCTION("SPLIT(MID(C1214,2,LEN(C1214)-2), "","")"),637.0)</f>
        <v>637</v>
      </c>
      <c r="E1214" s="7"/>
      <c r="F1214" s="7"/>
      <c r="G1214" s="2" t="str">
        <f t="array" ref="G1214">IF(ISBLANK(D1214), "", INDEX(Categories!$B:$B,MATCH(D1214,Categories!$A:$A,0)))</f>
        <v>Photographers Commercial</v>
      </c>
      <c r="H1214" s="7" t="str">
        <f t="array" ref="H1214">IF(ISBLANK(E1214), "", INDEX(Categories!$B:$B,MATCH(E1214,Categories!$A:$A,0)))</f>
        <v/>
      </c>
      <c r="I1214" s="7" t="str">
        <f t="array" ref="I1214">IF(ISBLANK(F1214), "", INDEX(Categories!$B:$B,MATCH(F1214,Categories!$A:$A,0)))</f>
        <v/>
      </c>
      <c r="J1214" s="4"/>
      <c r="K1214" s="4"/>
      <c r="L1214" s="4"/>
      <c r="M1214" s="4"/>
      <c r="N1214" s="4"/>
      <c r="O1214" s="4"/>
      <c r="P1214" s="4"/>
      <c r="Q1214" s="4"/>
    </row>
    <row r="1215">
      <c r="A1215" s="5">
        <v>1214.0</v>
      </c>
      <c r="B1215" s="5" t="s">
        <v>1594</v>
      </c>
      <c r="C1215" s="5" t="s">
        <v>1595</v>
      </c>
      <c r="D1215" s="6">
        <f>IFERROR(__xludf.DUMMYFUNCTION("SPLIT(MID(C1215,2,LEN(C1215)-2), "","")"),2308.0)</f>
        <v>2308</v>
      </c>
      <c r="E1215" s="7"/>
      <c r="F1215" s="7"/>
      <c r="G1215" s="2" t="str">
        <f t="array" ref="G1215">IF(ISBLANK(D1215), "", INDEX(Categories!$B:$B,MATCH(D1215,Categories!$A:$A,0)))</f>
        <v>Landscaping Services &amp; Supplies</v>
      </c>
      <c r="H1215" s="7" t="str">
        <f t="array" ref="H1215">IF(ISBLANK(E1215), "", INDEX(Categories!$B:$B,MATCH(E1215,Categories!$A:$A,0)))</f>
        <v/>
      </c>
      <c r="I1215" s="7" t="str">
        <f t="array" ref="I1215">IF(ISBLANK(F1215), "", INDEX(Categories!$B:$B,MATCH(F1215,Categories!$A:$A,0)))</f>
        <v/>
      </c>
      <c r="J1215" s="4"/>
      <c r="K1215" s="4"/>
      <c r="L1215" s="4"/>
      <c r="M1215" s="4"/>
      <c r="N1215" s="4"/>
      <c r="O1215" s="4"/>
      <c r="P1215" s="4"/>
      <c r="Q1215" s="4"/>
    </row>
    <row r="1216">
      <c r="A1216" s="5">
        <v>1215.0</v>
      </c>
      <c r="B1216" s="5" t="s">
        <v>1596</v>
      </c>
      <c r="C1216" s="5" t="s">
        <v>1597</v>
      </c>
      <c r="D1216" s="6">
        <f>IFERROR(__xludf.DUMMYFUNCTION("SPLIT(MID(C1216,2,LEN(C1216)-2), "","")"),2581.0)</f>
        <v>2581</v>
      </c>
      <c r="E1216" s="7"/>
      <c r="F1216" s="7"/>
      <c r="G1216" s="2" t="str">
        <f t="array" ref="G1216">IF(ISBLANK(D1216), "", INDEX(Categories!$B:$B,MATCH(D1216,Categories!$A:$A,0)))</f>
        <v>Glass Stained Leaded Etc</v>
      </c>
      <c r="H1216" s="7" t="str">
        <f t="array" ref="H1216">IF(ISBLANK(E1216), "", INDEX(Categories!$B:$B,MATCH(E1216,Categories!$A:$A,0)))</f>
        <v/>
      </c>
      <c r="I1216" s="7" t="str">
        <f t="array" ref="I1216">IF(ISBLANK(F1216), "", INDEX(Categories!$B:$B,MATCH(F1216,Categories!$A:$A,0)))</f>
        <v/>
      </c>
      <c r="J1216" s="4"/>
      <c r="K1216" s="4"/>
      <c r="L1216" s="4"/>
      <c r="M1216" s="4"/>
      <c r="N1216" s="4"/>
      <c r="O1216" s="4"/>
      <c r="P1216" s="4"/>
      <c r="Q1216" s="4"/>
    </row>
    <row r="1217">
      <c r="A1217" s="5">
        <v>1216.0</v>
      </c>
      <c r="B1217" s="5" t="s">
        <v>1598</v>
      </c>
      <c r="C1217" s="5" t="s">
        <v>10</v>
      </c>
      <c r="D1217" s="6">
        <f>IFERROR(__xludf.DUMMYFUNCTION("SPLIT(MID(C1217,2,LEN(C1217)-2), "","")"),1168.0)</f>
        <v>1168</v>
      </c>
      <c r="E1217" s="7"/>
      <c r="F1217" s="7"/>
      <c r="G1217" s="2" t="str">
        <f t="array" ref="G1217">IF(ISBLANK(D1217), "", INDEX(Categories!$B:$B,MATCH(D1217,Categories!$A:$A,0)))</f>
        <v>Convenience Stores</v>
      </c>
      <c r="H1217" s="7" t="str">
        <f t="array" ref="H1217">IF(ISBLANK(E1217), "", INDEX(Categories!$B:$B,MATCH(E1217,Categories!$A:$A,0)))</f>
        <v/>
      </c>
      <c r="I1217" s="7" t="str">
        <f t="array" ref="I1217">IF(ISBLANK(F1217), "", INDEX(Categories!$B:$B,MATCH(F1217,Categories!$A:$A,0)))</f>
        <v/>
      </c>
      <c r="J1217" s="4"/>
      <c r="K1217" s="4"/>
      <c r="L1217" s="4"/>
      <c r="M1217" s="4"/>
      <c r="N1217" s="4"/>
      <c r="O1217" s="4"/>
      <c r="P1217" s="4"/>
      <c r="Q1217" s="4"/>
    </row>
    <row r="1218">
      <c r="A1218" s="5">
        <v>1217.0</v>
      </c>
      <c r="B1218" s="5" t="s">
        <v>1599</v>
      </c>
      <c r="C1218" s="5" t="s">
        <v>1600</v>
      </c>
      <c r="D1218" s="6">
        <f>IFERROR(__xludf.DUMMYFUNCTION("SPLIT(MID(C1218,2,LEN(C1218)-2), "","")"),2595.0)</f>
        <v>2595</v>
      </c>
      <c r="E1218" s="7"/>
      <c r="F1218" s="7"/>
      <c r="G1218" s="2" t="str">
        <f t="array" ref="G1218">IF(ISBLANK(D1218), "", INDEX(Categories!$B:$B,MATCH(D1218,Categories!$A:$A,0)))</f>
        <v>Health &amp; Fitness Clubs</v>
      </c>
      <c r="H1218" s="7" t="str">
        <f t="array" ref="H1218">IF(ISBLANK(E1218), "", INDEX(Categories!$B:$B,MATCH(E1218,Categories!$A:$A,0)))</f>
        <v/>
      </c>
      <c r="I1218" s="7" t="str">
        <f t="array" ref="I1218">IF(ISBLANK(F1218), "", INDEX(Categories!$B:$B,MATCH(F1218,Categories!$A:$A,0)))</f>
        <v/>
      </c>
      <c r="J1218" s="4"/>
      <c r="K1218" s="4"/>
      <c r="L1218" s="4"/>
      <c r="M1218" s="4"/>
      <c r="N1218" s="4"/>
      <c r="O1218" s="4"/>
      <c r="P1218" s="4"/>
      <c r="Q1218" s="4"/>
    </row>
    <row r="1219">
      <c r="A1219" s="5">
        <v>1218.0</v>
      </c>
      <c r="B1219" s="5" t="s">
        <v>1601</v>
      </c>
      <c r="C1219" s="5" t="s">
        <v>221</v>
      </c>
      <c r="D1219" s="6">
        <f>IFERROR(__xludf.DUMMYFUNCTION("SPLIT(MID(C1219,2,LEN(C1219)-2), "","")"),483.0)</f>
        <v>483</v>
      </c>
      <c r="E1219" s="7"/>
      <c r="F1219" s="7"/>
      <c r="G1219" s="2" t="str">
        <f t="array" ref="G1219">IF(ISBLANK(D1219), "", INDEX(Categories!$B:$B,MATCH(D1219,Categories!$A:$A,0)))</f>
        <v>Automobile Window Service &amp; Repair</v>
      </c>
      <c r="H1219" s="7" t="str">
        <f t="array" ref="H1219">IF(ISBLANK(E1219), "", INDEX(Categories!$B:$B,MATCH(E1219,Categories!$A:$A,0)))</f>
        <v/>
      </c>
      <c r="I1219" s="7" t="str">
        <f t="array" ref="I1219">IF(ISBLANK(F1219), "", INDEX(Categories!$B:$B,MATCH(F1219,Categories!$A:$A,0)))</f>
        <v/>
      </c>
      <c r="J1219" s="4"/>
      <c r="K1219" s="4"/>
      <c r="L1219" s="4"/>
      <c r="M1219" s="4"/>
      <c r="N1219" s="4"/>
      <c r="O1219" s="4"/>
      <c r="P1219" s="4"/>
      <c r="Q1219" s="4"/>
    </row>
    <row r="1220">
      <c r="A1220" s="5">
        <v>1219.0</v>
      </c>
      <c r="B1220" s="5" t="s">
        <v>1602</v>
      </c>
      <c r="C1220" s="5" t="s">
        <v>346</v>
      </c>
      <c r="D1220" s="6">
        <f>IFERROR(__xludf.DUMMYFUNCTION("SPLIT(MID(C1220,2,LEN(C1220)-2), "","")"),610.0)</f>
        <v>610</v>
      </c>
      <c r="E1220" s="7"/>
      <c r="F1220" s="7"/>
      <c r="G1220" s="2" t="str">
        <f t="array" ref="G1220">IF(ISBLANK(D1220), "", INDEX(Categories!$B:$B,MATCH(D1220,Categories!$A:$A,0)))</f>
        <v>Supermarkets &amp; Super Stores</v>
      </c>
      <c r="H1220" s="7" t="str">
        <f t="array" ref="H1220">IF(ISBLANK(E1220), "", INDEX(Categories!$B:$B,MATCH(E1220,Categories!$A:$A,0)))</f>
        <v/>
      </c>
      <c r="I1220" s="7" t="str">
        <f t="array" ref="I1220">IF(ISBLANK(F1220), "", INDEX(Categories!$B:$B,MATCH(F1220,Categories!$A:$A,0)))</f>
        <v/>
      </c>
      <c r="J1220" s="4"/>
      <c r="K1220" s="4"/>
      <c r="L1220" s="4"/>
      <c r="M1220" s="4"/>
      <c r="N1220" s="4"/>
      <c r="O1220" s="4"/>
      <c r="P1220" s="4"/>
      <c r="Q1220" s="4"/>
    </row>
    <row r="1221">
      <c r="A1221" s="5">
        <v>1220.0</v>
      </c>
      <c r="B1221" s="5" t="s">
        <v>1603</v>
      </c>
      <c r="C1221" s="5" t="s">
        <v>1604</v>
      </c>
      <c r="D1221" s="6">
        <f>IFERROR(__xludf.DUMMYFUNCTION("SPLIT(MID(C1221,2,LEN(C1221)-2), "","")"),2542.0)</f>
        <v>2542</v>
      </c>
      <c r="E1221" s="7"/>
      <c r="F1221" s="7"/>
      <c r="G1221" s="2" t="str">
        <f t="array" ref="G1221">IF(ISBLANK(D1221), "", INDEX(Categories!$B:$B,MATCH(D1221,Categories!$A:$A,0)))</f>
        <v>Cleaning Equipment &amp; Supplies</v>
      </c>
      <c r="H1221" s="7" t="str">
        <f t="array" ref="H1221">IF(ISBLANK(E1221), "", INDEX(Categories!$B:$B,MATCH(E1221,Categories!$A:$A,0)))</f>
        <v/>
      </c>
      <c r="I1221" s="7" t="str">
        <f t="array" ref="I1221">IF(ISBLANK(F1221), "", INDEX(Categories!$B:$B,MATCH(F1221,Categories!$A:$A,0)))</f>
        <v/>
      </c>
      <c r="J1221" s="4"/>
      <c r="K1221" s="4"/>
      <c r="L1221" s="4"/>
      <c r="M1221" s="4"/>
      <c r="N1221" s="4"/>
      <c r="O1221" s="4"/>
      <c r="P1221" s="4"/>
      <c r="Q1221" s="4"/>
    </row>
    <row r="1222">
      <c r="A1222" s="5">
        <v>1221.0</v>
      </c>
      <c r="B1222" s="5" t="s">
        <v>1605</v>
      </c>
      <c r="C1222" s="5" t="s">
        <v>60</v>
      </c>
      <c r="D1222" s="6">
        <f>IFERROR(__xludf.DUMMYFUNCTION("SPLIT(MID(C1222,2,LEN(C1222)-2), "","")"),240.0)</f>
        <v>240</v>
      </c>
      <c r="E1222" s="7"/>
      <c r="F1222" s="7"/>
      <c r="G1222" s="2" t="str">
        <f t="array" ref="G1222">IF(ISBLANK(D1222), "", INDEX(Categories!$B:$B,MATCH(D1222,Categories!$A:$A,0)))</f>
        <v>Restaurants Fast Food</v>
      </c>
      <c r="H1222" s="7" t="str">
        <f t="array" ref="H1222">IF(ISBLANK(E1222), "", INDEX(Categories!$B:$B,MATCH(E1222,Categories!$A:$A,0)))</f>
        <v/>
      </c>
      <c r="I1222" s="7" t="str">
        <f t="array" ref="I1222">IF(ISBLANK(F1222), "", INDEX(Categories!$B:$B,MATCH(F1222,Categories!$A:$A,0)))</f>
        <v/>
      </c>
      <c r="J1222" s="4"/>
      <c r="K1222" s="4"/>
      <c r="L1222" s="4"/>
      <c r="M1222" s="4"/>
      <c r="N1222" s="4"/>
      <c r="O1222" s="4"/>
      <c r="P1222" s="4"/>
      <c r="Q1222" s="4"/>
    </row>
    <row r="1223">
      <c r="A1223" s="5">
        <v>1222.0</v>
      </c>
      <c r="B1223" s="5" t="s">
        <v>1606</v>
      </c>
      <c r="C1223" s="5" t="s">
        <v>34</v>
      </c>
      <c r="D1223" s="6">
        <f>IFERROR(__xludf.DUMMYFUNCTION("SPLIT(MID(C1223,2,LEN(C1223)-2), "","")"),228.0)</f>
        <v>228</v>
      </c>
      <c r="E1223" s="7"/>
      <c r="F1223" s="7"/>
      <c r="G1223" s="2" t="str">
        <f t="array" ref="G1223">IF(ISBLANK(D1223), "", INDEX(Categories!$B:$B,MATCH(D1223,Categories!$A:$A,0)))</f>
        <v>Restaurants</v>
      </c>
      <c r="H1223" s="7" t="str">
        <f t="array" ref="H1223">IF(ISBLANK(E1223), "", INDEX(Categories!$B:$B,MATCH(E1223,Categories!$A:$A,0)))</f>
        <v/>
      </c>
      <c r="I1223" s="7" t="str">
        <f t="array" ref="I1223">IF(ISBLANK(F1223), "", INDEX(Categories!$B:$B,MATCH(F1223,Categories!$A:$A,0)))</f>
        <v/>
      </c>
      <c r="J1223" s="4"/>
      <c r="K1223" s="4"/>
      <c r="L1223" s="4"/>
      <c r="M1223" s="4"/>
      <c r="N1223" s="4"/>
      <c r="O1223" s="4"/>
      <c r="P1223" s="4"/>
      <c r="Q1223" s="4"/>
    </row>
    <row r="1224">
      <c r="A1224" s="5">
        <v>1223.0</v>
      </c>
      <c r="B1224" s="5" t="s">
        <v>1607</v>
      </c>
      <c r="C1224" s="5" t="s">
        <v>58</v>
      </c>
      <c r="D1224" s="6">
        <f>IFERROR(__xludf.DUMMYFUNCTION("SPLIT(MID(C1224,2,LEN(C1224)-2), "","")"),1170.0)</f>
        <v>1170</v>
      </c>
      <c r="E1224" s="7"/>
      <c r="F1224" s="7"/>
      <c r="G1224" s="2" t="str">
        <f t="array" ref="G1224">IF(ISBLANK(D1224), "", INDEX(Categories!$B:$B,MATCH(D1224,Categories!$A:$A,0)))</f>
        <v>Gasoline Retail</v>
      </c>
      <c r="H1224" s="7" t="str">
        <f t="array" ref="H1224">IF(ISBLANK(E1224), "", INDEX(Categories!$B:$B,MATCH(E1224,Categories!$A:$A,0)))</f>
        <v/>
      </c>
      <c r="I1224" s="7" t="str">
        <f t="array" ref="I1224">IF(ISBLANK(F1224), "", INDEX(Categories!$B:$B,MATCH(F1224,Categories!$A:$A,0)))</f>
        <v/>
      </c>
      <c r="J1224" s="4"/>
      <c r="K1224" s="4"/>
      <c r="L1224" s="4"/>
      <c r="M1224" s="4"/>
      <c r="N1224" s="4"/>
      <c r="O1224" s="4"/>
      <c r="P1224" s="4"/>
      <c r="Q1224" s="4"/>
    </row>
    <row r="1225">
      <c r="A1225" s="5">
        <v>1224.0</v>
      </c>
      <c r="B1225" s="5" t="s">
        <v>1608</v>
      </c>
      <c r="C1225" s="5" t="s">
        <v>246</v>
      </c>
      <c r="D1225" s="6">
        <f>IFERROR(__xludf.DUMMYFUNCTION("SPLIT(MID(C1225,2,LEN(C1225)-2), "","")"),1587.0)</f>
        <v>1587</v>
      </c>
      <c r="E1225" s="7"/>
      <c r="F1225" s="7"/>
      <c r="G1225" s="2" t="str">
        <f t="array" ref="G1225">IF(ISBLANK(D1225), "", INDEX(Categories!$B:$B,MATCH(D1225,Categories!$A:$A,0)))</f>
        <v>Educational Services</v>
      </c>
      <c r="H1225" s="7" t="str">
        <f t="array" ref="H1225">IF(ISBLANK(E1225), "", INDEX(Categories!$B:$B,MATCH(E1225,Categories!$A:$A,0)))</f>
        <v/>
      </c>
      <c r="I1225" s="7" t="str">
        <f t="array" ref="I1225">IF(ISBLANK(F1225), "", INDEX(Categories!$B:$B,MATCH(F1225,Categories!$A:$A,0)))</f>
        <v/>
      </c>
      <c r="J1225" s="4"/>
      <c r="K1225" s="4"/>
      <c r="L1225" s="4"/>
      <c r="M1225" s="4"/>
      <c r="N1225" s="4"/>
      <c r="O1225" s="4"/>
      <c r="P1225" s="4"/>
      <c r="Q1225" s="4"/>
    </row>
    <row r="1226">
      <c r="A1226" s="5">
        <v>1225.0</v>
      </c>
      <c r="B1226" s="5" t="s">
        <v>1609</v>
      </c>
      <c r="C1226" s="5" t="s">
        <v>188</v>
      </c>
      <c r="D1226" s="6">
        <f>IFERROR(__xludf.DUMMYFUNCTION("SPLIT(MID(C1226,2,LEN(C1226)-2), "","")"),534.0)</f>
        <v>534</v>
      </c>
      <c r="E1226" s="7"/>
      <c r="F1226" s="7"/>
      <c r="G1226" s="2" t="str">
        <f t="array" ref="G1226">IF(ISBLANK(D1226), "", INDEX(Categories!$B:$B,MATCH(D1226,Categories!$A:$A,0)))</f>
        <v>Moving Services</v>
      </c>
      <c r="H1226" s="7" t="str">
        <f t="array" ref="H1226">IF(ISBLANK(E1226), "", INDEX(Categories!$B:$B,MATCH(E1226,Categories!$A:$A,0)))</f>
        <v/>
      </c>
      <c r="I1226" s="7" t="str">
        <f t="array" ref="I1226">IF(ISBLANK(F1226), "", INDEX(Categories!$B:$B,MATCH(F1226,Categories!$A:$A,0)))</f>
        <v/>
      </c>
      <c r="J1226" s="4"/>
      <c r="K1226" s="4"/>
      <c r="L1226" s="4"/>
      <c r="M1226" s="4"/>
      <c r="N1226" s="4"/>
      <c r="O1226" s="4"/>
      <c r="P1226" s="4"/>
      <c r="Q1226" s="4"/>
    </row>
    <row r="1227">
      <c r="A1227" s="5">
        <v>1226.0</v>
      </c>
      <c r="B1227" s="5" t="s">
        <v>1610</v>
      </c>
      <c r="C1227" s="5" t="s">
        <v>102</v>
      </c>
      <c r="D1227" s="6">
        <f>IFERROR(__xludf.DUMMYFUNCTION("SPLIT(MID(C1227,2,LEN(C1227)-2), "","")"),298.0)</f>
        <v>298</v>
      </c>
      <c r="E1227" s="7"/>
      <c r="F1227" s="7"/>
      <c r="G1227" s="2" t="str">
        <f t="array" ref="G1227">IF(ISBLANK(D1227), "", INDEX(Categories!$B:$B,MATCH(D1227,Categories!$A:$A,0)))</f>
        <v>Financial Services</v>
      </c>
      <c r="H1227" s="7" t="str">
        <f t="array" ref="H1227">IF(ISBLANK(E1227), "", INDEX(Categories!$B:$B,MATCH(E1227,Categories!$A:$A,0)))</f>
        <v/>
      </c>
      <c r="I1227" s="7" t="str">
        <f t="array" ref="I1227">IF(ISBLANK(F1227), "", INDEX(Categories!$B:$B,MATCH(F1227,Categories!$A:$A,0)))</f>
        <v/>
      </c>
      <c r="J1227" s="4"/>
      <c r="K1227" s="4"/>
      <c r="L1227" s="4"/>
      <c r="M1227" s="4"/>
      <c r="N1227" s="4"/>
      <c r="O1227" s="4"/>
      <c r="P1227" s="4"/>
      <c r="Q1227" s="4"/>
    </row>
    <row r="1228">
      <c r="A1228" s="5">
        <v>1227.0</v>
      </c>
      <c r="B1228" s="5" t="s">
        <v>1611</v>
      </c>
      <c r="C1228" s="5" t="s">
        <v>428</v>
      </c>
      <c r="D1228" s="6">
        <f>IFERROR(__xludf.DUMMYFUNCTION("SPLIT(MID(C1228,2,LEN(C1228)-2), "","")"),558.0)</f>
        <v>558</v>
      </c>
      <c r="E1228" s="7"/>
      <c r="F1228" s="7"/>
      <c r="G1228" s="2" t="str">
        <f t="array" ref="G1228">IF(ISBLANK(D1228), "", INDEX(Categories!$B:$B,MATCH(D1228,Categories!$A:$A,0)))</f>
        <v>Employment Agencies</v>
      </c>
      <c r="H1228" s="7" t="str">
        <f t="array" ref="H1228">IF(ISBLANK(E1228), "", INDEX(Categories!$B:$B,MATCH(E1228,Categories!$A:$A,0)))</f>
        <v/>
      </c>
      <c r="I1228" s="7" t="str">
        <f t="array" ref="I1228">IF(ISBLANK(F1228), "", INDEX(Categories!$B:$B,MATCH(F1228,Categories!$A:$A,0)))</f>
        <v/>
      </c>
      <c r="J1228" s="4"/>
      <c r="K1228" s="4"/>
      <c r="L1228" s="4"/>
      <c r="M1228" s="4"/>
      <c r="N1228" s="4"/>
      <c r="O1228" s="4"/>
      <c r="P1228" s="4"/>
      <c r="Q1228" s="4"/>
    </row>
    <row r="1229">
      <c r="A1229" s="5">
        <v>1228.0</v>
      </c>
      <c r="B1229" s="5" t="s">
        <v>1612</v>
      </c>
      <c r="C1229" s="5" t="s">
        <v>1414</v>
      </c>
      <c r="D1229" s="6">
        <f>IFERROR(__xludf.DUMMYFUNCTION("SPLIT(MID(C1229,2,LEN(C1229)-2), "","")"),1468.0)</f>
        <v>1468</v>
      </c>
      <c r="E1229" s="7"/>
      <c r="F1229" s="7"/>
      <c r="G1229" s="2" t="str">
        <f t="array" ref="G1229">IF(ISBLANK(D1229), "", INDEX(Categories!$B:$B,MATCH(D1229,Categories!$A:$A,0)))</f>
        <v>Transportation Services</v>
      </c>
      <c r="H1229" s="7" t="str">
        <f t="array" ref="H1229">IF(ISBLANK(E1229), "", INDEX(Categories!$B:$B,MATCH(E1229,Categories!$A:$A,0)))</f>
        <v/>
      </c>
      <c r="I1229" s="7" t="str">
        <f t="array" ref="I1229">IF(ISBLANK(F1229), "", INDEX(Categories!$B:$B,MATCH(F1229,Categories!$A:$A,0)))</f>
        <v/>
      </c>
      <c r="J1229" s="4"/>
      <c r="K1229" s="4"/>
      <c r="L1229" s="4"/>
      <c r="M1229" s="4"/>
      <c r="N1229" s="4"/>
      <c r="O1229" s="4"/>
      <c r="P1229" s="4"/>
      <c r="Q1229" s="4"/>
    </row>
    <row r="1230">
      <c r="A1230" s="5">
        <v>1229.0</v>
      </c>
      <c r="B1230" s="5" t="s">
        <v>1613</v>
      </c>
      <c r="C1230" s="5" t="s">
        <v>152</v>
      </c>
      <c r="D1230" s="6">
        <f>IFERROR(__xludf.DUMMYFUNCTION("SPLIT(MID(C1230,2,LEN(C1230)-2), "","")"),1183.0)</f>
        <v>1183</v>
      </c>
      <c r="E1230" s="7"/>
      <c r="F1230" s="7"/>
      <c r="G1230" s="2" t="str">
        <f t="array" ref="G1230">IF(ISBLANK(D1230), "", INDEX(Categories!$B:$B,MATCH(D1230,Categories!$A:$A,0)))</f>
        <v>Shipping Services</v>
      </c>
      <c r="H1230" s="7" t="str">
        <f t="array" ref="H1230">IF(ISBLANK(E1230), "", INDEX(Categories!$B:$B,MATCH(E1230,Categories!$A:$A,0)))</f>
        <v/>
      </c>
      <c r="I1230" s="7" t="str">
        <f t="array" ref="I1230">IF(ISBLANK(F1230), "", INDEX(Categories!$B:$B,MATCH(F1230,Categories!$A:$A,0)))</f>
        <v/>
      </c>
      <c r="J1230" s="4"/>
      <c r="K1230" s="4"/>
      <c r="L1230" s="4"/>
      <c r="M1230" s="4"/>
      <c r="N1230" s="4"/>
      <c r="O1230" s="4"/>
      <c r="P1230" s="4"/>
      <c r="Q1230" s="4"/>
    </row>
    <row r="1231">
      <c r="A1231" s="5">
        <v>1230.0</v>
      </c>
      <c r="B1231" s="5" t="s">
        <v>1614</v>
      </c>
      <c r="C1231" s="5" t="s">
        <v>1615</v>
      </c>
      <c r="D1231" s="6">
        <f>IFERROR(__xludf.DUMMYFUNCTION("SPLIT(MID(C1231,2,LEN(C1231)-2), "","")"),2807.0)</f>
        <v>2807</v>
      </c>
      <c r="E1231" s="7"/>
      <c r="F1231" s="7"/>
      <c r="G1231" s="2" t="str">
        <f t="array" ref="G1231">IF(ISBLANK(D1231), "", INDEX(Categories!$B:$B,MATCH(D1231,Categories!$A:$A,0)))</f>
        <v>Siding Materials Retail</v>
      </c>
      <c r="H1231" s="7" t="str">
        <f t="array" ref="H1231">IF(ISBLANK(E1231), "", INDEX(Categories!$B:$B,MATCH(E1231,Categories!$A:$A,0)))</f>
        <v/>
      </c>
      <c r="I1231" s="7" t="str">
        <f t="array" ref="I1231">IF(ISBLANK(F1231), "", INDEX(Categories!$B:$B,MATCH(F1231,Categories!$A:$A,0)))</f>
        <v/>
      </c>
      <c r="J1231" s="4"/>
      <c r="K1231" s="4"/>
      <c r="L1231" s="4"/>
      <c r="M1231" s="4"/>
      <c r="N1231" s="4"/>
      <c r="O1231" s="4"/>
      <c r="P1231" s="4"/>
      <c r="Q1231" s="4"/>
    </row>
    <row r="1232">
      <c r="A1232" s="5">
        <v>1231.0</v>
      </c>
      <c r="B1232" s="5" t="s">
        <v>1616</v>
      </c>
      <c r="C1232" s="5" t="s">
        <v>65</v>
      </c>
      <c r="D1232" s="6">
        <f>IFERROR(__xludf.DUMMYFUNCTION("SPLIT(MID(C1232,2,LEN(C1232)-2), "","")"),983.0)</f>
        <v>983</v>
      </c>
      <c r="E1232" s="7"/>
      <c r="F1232" s="7"/>
      <c r="G1232" s="2" t="str">
        <f t="array" ref="G1232">IF(ISBLANK(D1232), "", INDEX(Categories!$B:$B,MATCH(D1232,Categories!$A:$A,0)))</f>
        <v>Mobile Telephone Service</v>
      </c>
      <c r="H1232" s="7" t="str">
        <f t="array" ref="H1232">IF(ISBLANK(E1232), "", INDEX(Categories!$B:$B,MATCH(E1232,Categories!$A:$A,0)))</f>
        <v/>
      </c>
      <c r="I1232" s="7" t="str">
        <f t="array" ref="I1232">IF(ISBLANK(F1232), "", INDEX(Categories!$B:$B,MATCH(F1232,Categories!$A:$A,0)))</f>
        <v/>
      </c>
      <c r="J1232" s="4"/>
      <c r="K1232" s="4"/>
      <c r="L1232" s="4"/>
      <c r="M1232" s="4"/>
      <c r="N1232" s="4"/>
      <c r="O1232" s="4"/>
      <c r="P1232" s="4"/>
      <c r="Q1232" s="4"/>
    </row>
    <row r="1233">
      <c r="A1233" s="5">
        <v>1232.0</v>
      </c>
      <c r="B1233" s="5" t="s">
        <v>1617</v>
      </c>
      <c r="C1233" s="5" t="s">
        <v>1215</v>
      </c>
      <c r="D1233" s="6">
        <f>IFERROR(__xludf.DUMMYFUNCTION("SPLIT(MID(C1233,2,LEN(C1233)-2), "","")"),2673.0)</f>
        <v>2673</v>
      </c>
      <c r="E1233" s="7"/>
      <c r="F1233" s="7"/>
      <c r="G1233" s="2" t="str">
        <f t="array" ref="G1233">IF(ISBLANK(D1233), "", INDEX(Categories!$B:$B,MATCH(D1233,Categories!$A:$A,0)))</f>
        <v>Window Treatments</v>
      </c>
      <c r="H1233" s="7" t="str">
        <f t="array" ref="H1233">IF(ISBLANK(E1233), "", INDEX(Categories!$B:$B,MATCH(E1233,Categories!$A:$A,0)))</f>
        <v/>
      </c>
      <c r="I1233" s="7" t="str">
        <f t="array" ref="I1233">IF(ISBLANK(F1233), "", INDEX(Categories!$B:$B,MATCH(F1233,Categories!$A:$A,0)))</f>
        <v/>
      </c>
      <c r="J1233" s="4"/>
      <c r="K1233" s="4"/>
      <c r="L1233" s="4"/>
      <c r="M1233" s="4"/>
      <c r="N1233" s="4"/>
      <c r="O1233" s="4"/>
      <c r="P1233" s="4"/>
      <c r="Q1233" s="4"/>
    </row>
    <row r="1234">
      <c r="A1234" s="5">
        <v>1233.0</v>
      </c>
      <c r="B1234" s="5" t="s">
        <v>1618</v>
      </c>
      <c r="C1234" s="5" t="s">
        <v>69</v>
      </c>
      <c r="D1234" s="6">
        <f>IFERROR(__xludf.DUMMYFUNCTION("SPLIT(MID(C1234,2,LEN(C1234)-2), "","")"),293.0)</f>
        <v>293</v>
      </c>
      <c r="E1234" s="7"/>
      <c r="F1234" s="7"/>
      <c r="G1234" s="2" t="str">
        <f t="array" ref="G1234">IF(ISBLANK(D1234), "", INDEX(Categories!$B:$B,MATCH(D1234,Categories!$A:$A,0)))</f>
        <v>Banks Commercial</v>
      </c>
      <c r="H1234" s="7" t="str">
        <f t="array" ref="H1234">IF(ISBLANK(E1234), "", INDEX(Categories!$B:$B,MATCH(E1234,Categories!$A:$A,0)))</f>
        <v/>
      </c>
      <c r="I1234" s="7" t="str">
        <f t="array" ref="I1234">IF(ISBLANK(F1234), "", INDEX(Categories!$B:$B,MATCH(F1234,Categories!$A:$A,0)))</f>
        <v/>
      </c>
      <c r="J1234" s="4"/>
      <c r="K1234" s="4"/>
      <c r="L1234" s="4"/>
      <c r="M1234" s="4"/>
      <c r="N1234" s="4"/>
      <c r="O1234" s="4"/>
      <c r="P1234" s="4"/>
      <c r="Q1234" s="4"/>
    </row>
    <row r="1235">
      <c r="A1235" s="5">
        <v>1234.0</v>
      </c>
      <c r="B1235" s="5" t="s">
        <v>1619</v>
      </c>
      <c r="C1235" s="5" t="s">
        <v>1620</v>
      </c>
      <c r="D1235" s="6">
        <f>IFERROR(__xludf.DUMMYFUNCTION("SPLIT(MID(C1235,2,LEN(C1235)-2), "","")"),782.0)</f>
        <v>782</v>
      </c>
      <c r="E1235" s="7"/>
      <c r="F1235" s="7"/>
      <c r="G1235" s="2" t="str">
        <f t="array" ref="G1235">IF(ISBLANK(D1235), "", INDEX(Categories!$B:$B,MATCH(D1235,Categories!$A:$A,0)))</f>
        <v>Advertising</v>
      </c>
      <c r="H1235" s="7" t="str">
        <f t="array" ref="H1235">IF(ISBLANK(E1235), "", INDEX(Categories!$B:$B,MATCH(E1235,Categories!$A:$A,0)))</f>
        <v/>
      </c>
      <c r="I1235" s="7" t="str">
        <f t="array" ref="I1235">IF(ISBLANK(F1235), "", INDEX(Categories!$B:$B,MATCH(F1235,Categories!$A:$A,0)))</f>
        <v/>
      </c>
      <c r="J1235" s="4"/>
      <c r="K1235" s="4"/>
      <c r="L1235" s="4"/>
      <c r="M1235" s="4"/>
      <c r="N1235" s="4"/>
      <c r="O1235" s="4"/>
      <c r="P1235" s="4"/>
      <c r="Q1235" s="4"/>
    </row>
    <row r="1236">
      <c r="A1236" s="5">
        <v>1235.0</v>
      </c>
      <c r="B1236" s="5" t="s">
        <v>1621</v>
      </c>
      <c r="C1236" s="5" t="s">
        <v>290</v>
      </c>
      <c r="D1236" s="6">
        <f>IFERROR(__xludf.DUMMYFUNCTION("SPLIT(MID(C1236,2,LEN(C1236)-2), "","")"),2035.0)</f>
        <v>2035</v>
      </c>
      <c r="E1236" s="7"/>
      <c r="F1236" s="7"/>
      <c r="G1236" s="2" t="str">
        <f t="array" ref="G1236">IF(ISBLANK(D1236), "", INDEX(Categories!$B:$B,MATCH(D1236,Categories!$A:$A,0)))</f>
        <v>Home Health Care Services</v>
      </c>
      <c r="H1236" s="7" t="str">
        <f t="array" ref="H1236">IF(ISBLANK(E1236), "", INDEX(Categories!$B:$B,MATCH(E1236,Categories!$A:$A,0)))</f>
        <v/>
      </c>
      <c r="I1236" s="7" t="str">
        <f t="array" ref="I1236">IF(ISBLANK(F1236), "", INDEX(Categories!$B:$B,MATCH(F1236,Categories!$A:$A,0)))</f>
        <v/>
      </c>
      <c r="J1236" s="4"/>
      <c r="K1236" s="4"/>
      <c r="L1236" s="4"/>
      <c r="M1236" s="4"/>
      <c r="N1236" s="4"/>
      <c r="O1236" s="4"/>
      <c r="P1236" s="4"/>
      <c r="Q1236" s="4"/>
    </row>
    <row r="1237">
      <c r="A1237" s="5">
        <v>1236.0</v>
      </c>
      <c r="B1237" s="5" t="s">
        <v>1622</v>
      </c>
      <c r="C1237" s="5" t="s">
        <v>1593</v>
      </c>
      <c r="D1237" s="6">
        <f>IFERROR(__xludf.DUMMYFUNCTION("SPLIT(MID(C1237,2,LEN(C1237)-2), "","")"),637.0)</f>
        <v>637</v>
      </c>
      <c r="E1237" s="7"/>
      <c r="F1237" s="7"/>
      <c r="G1237" s="2" t="str">
        <f t="array" ref="G1237">IF(ISBLANK(D1237), "", INDEX(Categories!$B:$B,MATCH(D1237,Categories!$A:$A,0)))</f>
        <v>Photographers Commercial</v>
      </c>
      <c r="H1237" s="7" t="str">
        <f t="array" ref="H1237">IF(ISBLANK(E1237), "", INDEX(Categories!$B:$B,MATCH(E1237,Categories!$A:$A,0)))</f>
        <v/>
      </c>
      <c r="I1237" s="7" t="str">
        <f t="array" ref="I1237">IF(ISBLANK(F1237), "", INDEX(Categories!$B:$B,MATCH(F1237,Categories!$A:$A,0)))</f>
        <v/>
      </c>
      <c r="J1237" s="4"/>
      <c r="K1237" s="4"/>
      <c r="L1237" s="4"/>
      <c r="M1237" s="4"/>
      <c r="N1237" s="4"/>
      <c r="O1237" s="4"/>
      <c r="P1237" s="4"/>
      <c r="Q1237" s="4"/>
    </row>
    <row r="1238">
      <c r="A1238" s="5">
        <v>1237.0</v>
      </c>
      <c r="B1238" s="5" t="s">
        <v>1623</v>
      </c>
      <c r="C1238" s="5" t="s">
        <v>509</v>
      </c>
      <c r="D1238" s="6">
        <f>IFERROR(__xludf.DUMMYFUNCTION("SPLIT(MID(C1238,2,LEN(C1238)-2), "","")"),1634.0)</f>
        <v>1634</v>
      </c>
      <c r="E1238" s="7"/>
      <c r="F1238" s="7"/>
      <c r="G1238" s="2" t="str">
        <f t="array" ref="G1238">IF(ISBLANK(D1238), "", INDEX(Categories!$B:$B,MATCH(D1238,Categories!$A:$A,0)))</f>
        <v>Fabric Shops</v>
      </c>
      <c r="H1238" s="7" t="str">
        <f t="array" ref="H1238">IF(ISBLANK(E1238), "", INDEX(Categories!$B:$B,MATCH(E1238,Categories!$A:$A,0)))</f>
        <v/>
      </c>
      <c r="I1238" s="7" t="str">
        <f t="array" ref="I1238">IF(ISBLANK(F1238), "", INDEX(Categories!$B:$B,MATCH(F1238,Categories!$A:$A,0)))</f>
        <v/>
      </c>
      <c r="J1238" s="4"/>
      <c r="K1238" s="4"/>
      <c r="L1238" s="4"/>
      <c r="M1238" s="4"/>
      <c r="N1238" s="4"/>
      <c r="O1238" s="4"/>
      <c r="P1238" s="4"/>
      <c r="Q1238" s="4"/>
    </row>
    <row r="1239">
      <c r="A1239" s="5">
        <v>1238.0</v>
      </c>
      <c r="B1239" s="5" t="s">
        <v>1624</v>
      </c>
      <c r="C1239" s="5" t="s">
        <v>96</v>
      </c>
      <c r="D1239" s="6">
        <f>IFERROR(__xludf.DUMMYFUNCTION("SPLIT(MID(C1239,2,LEN(C1239)-2), "","")"),572.0)</f>
        <v>572</v>
      </c>
      <c r="E1239" s="7"/>
      <c r="F1239" s="7"/>
      <c r="G1239" s="2" t="str">
        <f t="array" ref="G1239">IF(ISBLANK(D1239), "", INDEX(Categories!$B:$B,MATCH(D1239,Categories!$A:$A,0)))</f>
        <v>Groceries</v>
      </c>
      <c r="H1239" s="7" t="str">
        <f t="array" ref="H1239">IF(ISBLANK(E1239), "", INDEX(Categories!$B:$B,MATCH(E1239,Categories!$A:$A,0)))</f>
        <v/>
      </c>
      <c r="I1239" s="7" t="str">
        <f t="array" ref="I1239">IF(ISBLANK(F1239), "", INDEX(Categories!$B:$B,MATCH(F1239,Categories!$A:$A,0)))</f>
        <v/>
      </c>
      <c r="J1239" s="4"/>
      <c r="K1239" s="4"/>
      <c r="L1239" s="4"/>
      <c r="M1239" s="4"/>
      <c r="N1239" s="4"/>
      <c r="O1239" s="4"/>
      <c r="P1239" s="4"/>
      <c r="Q1239" s="4"/>
    </row>
    <row r="1240">
      <c r="A1240" s="5">
        <v>1239.0</v>
      </c>
      <c r="B1240" s="5" t="s">
        <v>1625</v>
      </c>
      <c r="C1240" s="5" t="s">
        <v>60</v>
      </c>
      <c r="D1240" s="6">
        <f>IFERROR(__xludf.DUMMYFUNCTION("SPLIT(MID(C1240,2,LEN(C1240)-2), "","")"),240.0)</f>
        <v>240</v>
      </c>
      <c r="E1240" s="7"/>
      <c r="F1240" s="7"/>
      <c r="G1240" s="2" t="str">
        <f t="array" ref="G1240">IF(ISBLANK(D1240), "", INDEX(Categories!$B:$B,MATCH(D1240,Categories!$A:$A,0)))</f>
        <v>Restaurants Fast Food</v>
      </c>
      <c r="H1240" s="7" t="str">
        <f t="array" ref="H1240">IF(ISBLANK(E1240), "", INDEX(Categories!$B:$B,MATCH(E1240,Categories!$A:$A,0)))</f>
        <v/>
      </c>
      <c r="I1240" s="7" t="str">
        <f t="array" ref="I1240">IF(ISBLANK(F1240), "", INDEX(Categories!$B:$B,MATCH(F1240,Categories!$A:$A,0)))</f>
        <v/>
      </c>
      <c r="J1240" s="4"/>
      <c r="K1240" s="4"/>
      <c r="L1240" s="4"/>
      <c r="M1240" s="4"/>
      <c r="N1240" s="4"/>
      <c r="O1240" s="4"/>
      <c r="P1240" s="4"/>
      <c r="Q1240" s="4"/>
    </row>
    <row r="1241">
      <c r="A1241" s="5">
        <v>1240.0</v>
      </c>
      <c r="B1241" s="5" t="s">
        <v>1626</v>
      </c>
      <c r="C1241" s="5" t="s">
        <v>346</v>
      </c>
      <c r="D1241" s="6">
        <f>IFERROR(__xludf.DUMMYFUNCTION("SPLIT(MID(C1241,2,LEN(C1241)-2), "","")"),610.0)</f>
        <v>610</v>
      </c>
      <c r="E1241" s="7"/>
      <c r="F1241" s="7"/>
      <c r="G1241" s="2" t="str">
        <f t="array" ref="G1241">IF(ISBLANK(D1241), "", INDEX(Categories!$B:$B,MATCH(D1241,Categories!$A:$A,0)))</f>
        <v>Supermarkets &amp; Super Stores</v>
      </c>
      <c r="H1241" s="7" t="str">
        <f t="array" ref="H1241">IF(ISBLANK(E1241), "", INDEX(Categories!$B:$B,MATCH(E1241,Categories!$A:$A,0)))</f>
        <v/>
      </c>
      <c r="I1241" s="7" t="str">
        <f t="array" ref="I1241">IF(ISBLANK(F1241), "", INDEX(Categories!$B:$B,MATCH(F1241,Categories!$A:$A,0)))</f>
        <v/>
      </c>
      <c r="J1241" s="4"/>
      <c r="K1241" s="4"/>
      <c r="L1241" s="4"/>
      <c r="M1241" s="4"/>
      <c r="N1241" s="4"/>
      <c r="O1241" s="4"/>
      <c r="P1241" s="4"/>
      <c r="Q1241" s="4"/>
    </row>
    <row r="1242">
      <c r="A1242" s="5">
        <v>1241.0</v>
      </c>
      <c r="B1242" s="5" t="s">
        <v>1627</v>
      </c>
      <c r="C1242" s="5" t="s">
        <v>801</v>
      </c>
      <c r="D1242" s="6">
        <f>IFERROR(__xludf.DUMMYFUNCTION("SPLIT(MID(C1242,2,LEN(C1242)-2), "","")"),1886.0)</f>
        <v>1886</v>
      </c>
      <c r="E1242" s="7"/>
      <c r="F1242" s="7"/>
      <c r="G1242" s="2" t="str">
        <f t="array" ref="G1242">IF(ISBLANK(D1242), "", INDEX(Categories!$B:$B,MATCH(D1242,Categories!$A:$A,0)))</f>
        <v>Pet Shops</v>
      </c>
      <c r="H1242" s="7" t="str">
        <f t="array" ref="H1242">IF(ISBLANK(E1242), "", INDEX(Categories!$B:$B,MATCH(E1242,Categories!$A:$A,0)))</f>
        <v/>
      </c>
      <c r="I1242" s="7" t="str">
        <f t="array" ref="I1242">IF(ISBLANK(F1242), "", INDEX(Categories!$B:$B,MATCH(F1242,Categories!$A:$A,0)))</f>
        <v/>
      </c>
      <c r="J1242" s="4"/>
      <c r="K1242" s="4"/>
      <c r="L1242" s="4"/>
      <c r="M1242" s="4"/>
      <c r="N1242" s="4"/>
      <c r="O1242" s="4"/>
      <c r="P1242" s="4"/>
      <c r="Q1242" s="4"/>
    </row>
    <row r="1243">
      <c r="A1243" s="5">
        <v>1242.0</v>
      </c>
      <c r="B1243" s="5" t="s">
        <v>1628</v>
      </c>
      <c r="C1243" s="5" t="s">
        <v>87</v>
      </c>
      <c r="D1243" s="6">
        <f>IFERROR(__xludf.DUMMYFUNCTION("SPLIT(MID(C1243,2,LEN(C1243)-2), "","")"),168.0)</f>
        <v>168</v>
      </c>
      <c r="E1243" s="7"/>
      <c r="F1243" s="7"/>
      <c r="G1243" s="2" t="str">
        <f t="array" ref="G1243">IF(ISBLANK(D1243), "", INDEX(Categories!$B:$B,MATCH(D1243,Categories!$A:$A,0)))</f>
        <v>Hotels &amp; Motels</v>
      </c>
      <c r="H1243" s="7" t="str">
        <f t="array" ref="H1243">IF(ISBLANK(E1243), "", INDEX(Categories!$B:$B,MATCH(E1243,Categories!$A:$A,0)))</f>
        <v/>
      </c>
      <c r="I1243" s="7" t="str">
        <f t="array" ref="I1243">IF(ISBLANK(F1243), "", INDEX(Categories!$B:$B,MATCH(F1243,Categories!$A:$A,0)))</f>
        <v/>
      </c>
      <c r="J1243" s="4"/>
      <c r="K1243" s="4"/>
      <c r="L1243" s="4"/>
      <c r="M1243" s="4"/>
      <c r="N1243" s="4"/>
      <c r="O1243" s="4"/>
      <c r="P1243" s="4"/>
      <c r="Q1243" s="4"/>
    </row>
    <row r="1244">
      <c r="A1244" s="5">
        <v>1243.0</v>
      </c>
      <c r="B1244" s="5" t="s">
        <v>1629</v>
      </c>
      <c r="C1244" s="5" t="s">
        <v>34</v>
      </c>
      <c r="D1244" s="6">
        <f>IFERROR(__xludf.DUMMYFUNCTION("SPLIT(MID(C1244,2,LEN(C1244)-2), "","")"),228.0)</f>
        <v>228</v>
      </c>
      <c r="E1244" s="7"/>
      <c r="F1244" s="7"/>
      <c r="G1244" s="2" t="str">
        <f t="array" ref="G1244">IF(ISBLANK(D1244), "", INDEX(Categories!$B:$B,MATCH(D1244,Categories!$A:$A,0)))</f>
        <v>Restaurants</v>
      </c>
      <c r="H1244" s="7" t="str">
        <f t="array" ref="H1244">IF(ISBLANK(E1244), "", INDEX(Categories!$B:$B,MATCH(E1244,Categories!$A:$A,0)))</f>
        <v/>
      </c>
      <c r="I1244" s="7" t="str">
        <f t="array" ref="I1244">IF(ISBLANK(F1244), "", INDEX(Categories!$B:$B,MATCH(F1244,Categories!$A:$A,0)))</f>
        <v/>
      </c>
      <c r="J1244" s="4"/>
      <c r="K1244" s="4"/>
      <c r="L1244" s="4"/>
      <c r="M1244" s="4"/>
      <c r="N1244" s="4"/>
      <c r="O1244" s="4"/>
      <c r="P1244" s="4"/>
      <c r="Q1244" s="4"/>
    </row>
    <row r="1245">
      <c r="A1245" s="5">
        <v>1244.0</v>
      </c>
      <c r="B1245" s="5" t="s">
        <v>1630</v>
      </c>
      <c r="C1245" s="5" t="s">
        <v>1376</v>
      </c>
      <c r="D1245" s="6">
        <f>IFERROR(__xludf.DUMMYFUNCTION("SPLIT(MID(C1245,2,LEN(C1245)-2), "","")"),2879.0)</f>
        <v>2879</v>
      </c>
      <c r="E1245" s="7"/>
      <c r="F1245" s="7"/>
      <c r="G1245" s="2" t="str">
        <f t="array" ref="G1245">IF(ISBLANK(D1245), "", INDEX(Categories!$B:$B,MATCH(D1245,Categories!$A:$A,0)))</f>
        <v>Building Inspection Service</v>
      </c>
      <c r="H1245" s="7" t="str">
        <f t="array" ref="H1245">IF(ISBLANK(E1245), "", INDEX(Categories!$B:$B,MATCH(E1245,Categories!$A:$A,0)))</f>
        <v/>
      </c>
      <c r="I1245" s="7" t="str">
        <f t="array" ref="I1245">IF(ISBLANK(F1245), "", INDEX(Categories!$B:$B,MATCH(F1245,Categories!$A:$A,0)))</f>
        <v/>
      </c>
      <c r="J1245" s="4"/>
      <c r="K1245" s="4"/>
      <c r="L1245" s="4"/>
      <c r="M1245" s="4"/>
      <c r="N1245" s="4"/>
      <c r="O1245" s="4"/>
      <c r="P1245" s="4"/>
      <c r="Q1245" s="4"/>
    </row>
    <row r="1246">
      <c r="A1246" s="5">
        <v>1245.0</v>
      </c>
      <c r="B1246" s="5" t="s">
        <v>1631</v>
      </c>
      <c r="C1246" s="5" t="s">
        <v>861</v>
      </c>
      <c r="D1246" s="6">
        <f>IFERROR(__xludf.DUMMYFUNCTION("SPLIT(MID(C1246,2,LEN(C1246)-2), "","")"),1758.0)</f>
        <v>1758</v>
      </c>
      <c r="E1246" s="7"/>
      <c r="F1246" s="7"/>
      <c r="G1246" s="2" t="str">
        <f t="array" ref="G1246">IF(ISBLANK(D1246), "", INDEX(Categories!$B:$B,MATCH(D1246,Categories!$A:$A,0)))</f>
        <v>Delivery Service</v>
      </c>
      <c r="H1246" s="7" t="str">
        <f t="array" ref="H1246">IF(ISBLANK(E1246), "", INDEX(Categories!$B:$B,MATCH(E1246,Categories!$A:$A,0)))</f>
        <v/>
      </c>
      <c r="I1246" s="7" t="str">
        <f t="array" ref="I1246">IF(ISBLANK(F1246), "", INDEX(Categories!$B:$B,MATCH(F1246,Categories!$A:$A,0)))</f>
        <v/>
      </c>
      <c r="J1246" s="4"/>
      <c r="K1246" s="4"/>
      <c r="L1246" s="4"/>
      <c r="M1246" s="4"/>
      <c r="N1246" s="4"/>
      <c r="O1246" s="4"/>
      <c r="P1246" s="4"/>
      <c r="Q1246" s="4"/>
    </row>
    <row r="1247">
      <c r="A1247" s="5">
        <v>1246.0</v>
      </c>
      <c r="B1247" s="5" t="s">
        <v>1632</v>
      </c>
      <c r="C1247" s="5" t="s">
        <v>1633</v>
      </c>
      <c r="D1247" s="6">
        <f>IFERROR(__xludf.DUMMYFUNCTION("SPLIT(MID(C1247,2,LEN(C1247)-2), "","")"),1396.0)</f>
        <v>1396</v>
      </c>
      <c r="E1247" s="7"/>
      <c r="F1247" s="7"/>
      <c r="G1247" s="2" t="str">
        <f t="array" ref="G1247">IF(ISBLANK(D1247), "", INDEX(Categories!$B:$B,MATCH(D1247,Categories!$A:$A,0)))</f>
        <v>Art Instruction &amp; Schools</v>
      </c>
      <c r="H1247" s="7" t="str">
        <f t="array" ref="H1247">IF(ISBLANK(E1247), "", INDEX(Categories!$B:$B,MATCH(E1247,Categories!$A:$A,0)))</f>
        <v/>
      </c>
      <c r="I1247" s="7" t="str">
        <f t="array" ref="I1247">IF(ISBLANK(F1247), "", INDEX(Categories!$B:$B,MATCH(F1247,Categories!$A:$A,0)))</f>
        <v/>
      </c>
      <c r="J1247" s="4"/>
      <c r="K1247" s="4"/>
      <c r="L1247" s="4"/>
      <c r="M1247" s="4"/>
      <c r="N1247" s="4"/>
      <c r="O1247" s="4"/>
      <c r="P1247" s="4"/>
      <c r="Q1247" s="4"/>
    </row>
    <row r="1248">
      <c r="A1248" s="5">
        <v>1247.0</v>
      </c>
      <c r="B1248" s="5" t="s">
        <v>1634</v>
      </c>
      <c r="C1248" s="5" t="s">
        <v>69</v>
      </c>
      <c r="D1248" s="6">
        <f>IFERROR(__xludf.DUMMYFUNCTION("SPLIT(MID(C1248,2,LEN(C1248)-2), "","")"),293.0)</f>
        <v>293</v>
      </c>
      <c r="E1248" s="7"/>
      <c r="F1248" s="7"/>
      <c r="G1248" s="2" t="str">
        <f t="array" ref="G1248">IF(ISBLANK(D1248), "", INDEX(Categories!$B:$B,MATCH(D1248,Categories!$A:$A,0)))</f>
        <v>Banks Commercial</v>
      </c>
      <c r="H1248" s="7" t="str">
        <f t="array" ref="H1248">IF(ISBLANK(E1248), "", INDEX(Categories!$B:$B,MATCH(E1248,Categories!$A:$A,0)))</f>
        <v/>
      </c>
      <c r="I1248" s="7" t="str">
        <f t="array" ref="I1248">IF(ISBLANK(F1248), "", INDEX(Categories!$B:$B,MATCH(F1248,Categories!$A:$A,0)))</f>
        <v/>
      </c>
      <c r="J1248" s="4"/>
      <c r="K1248" s="4"/>
      <c r="L1248" s="4"/>
      <c r="M1248" s="4"/>
      <c r="N1248" s="4"/>
      <c r="O1248" s="4"/>
      <c r="P1248" s="4"/>
      <c r="Q1248" s="4"/>
    </row>
    <row r="1249">
      <c r="A1249" s="5">
        <v>1248.0</v>
      </c>
      <c r="B1249" s="5" t="s">
        <v>1635</v>
      </c>
      <c r="C1249" s="5" t="s">
        <v>41</v>
      </c>
      <c r="D1249" s="6">
        <f>IFERROR(__xludf.DUMMYFUNCTION("SPLIT(MID(C1249,2,LEN(C1249)-2), "","")"),93.0)</f>
        <v>93</v>
      </c>
      <c r="E1249" s="7"/>
      <c r="F1249" s="7"/>
      <c r="G1249" s="2" t="str">
        <f t="array" ref="G1249">IF(ISBLANK(D1249), "", INDEX(Categories!$B:$B,MATCH(D1249,Categories!$A:$A,0)))</f>
        <v>Automobile - Rentals</v>
      </c>
      <c r="H1249" s="7" t="str">
        <f t="array" ref="H1249">IF(ISBLANK(E1249), "", INDEX(Categories!$B:$B,MATCH(E1249,Categories!$A:$A,0)))</f>
        <v/>
      </c>
      <c r="I1249" s="7" t="str">
        <f t="array" ref="I1249">IF(ISBLANK(F1249), "", INDEX(Categories!$B:$B,MATCH(F1249,Categories!$A:$A,0)))</f>
        <v/>
      </c>
      <c r="J1249" s="4"/>
      <c r="K1249" s="4"/>
      <c r="L1249" s="4"/>
      <c r="M1249" s="4"/>
      <c r="N1249" s="4"/>
      <c r="O1249" s="4"/>
      <c r="P1249" s="4"/>
      <c r="Q1249" s="4"/>
    </row>
    <row r="1250">
      <c r="A1250" s="5">
        <v>1249.0</v>
      </c>
      <c r="B1250" s="5" t="s">
        <v>1636</v>
      </c>
      <c r="C1250" s="5" t="s">
        <v>543</v>
      </c>
      <c r="D1250" s="6">
        <f>IFERROR(__xludf.DUMMYFUNCTION("SPLIT(MID(C1250,2,LEN(C1250)-2), "","")"),727.0)</f>
        <v>727</v>
      </c>
      <c r="E1250" s="7"/>
      <c r="F1250" s="7"/>
      <c r="G1250" s="2" t="str">
        <f t="array" ref="G1250">IF(ISBLANK(D1250), "", INDEX(Categories!$B:$B,MATCH(D1250,Categories!$A:$A,0)))</f>
        <v>Airlines &amp; Airports</v>
      </c>
      <c r="H1250" s="7" t="str">
        <f t="array" ref="H1250">IF(ISBLANK(E1250), "", INDEX(Categories!$B:$B,MATCH(E1250,Categories!$A:$A,0)))</f>
        <v/>
      </c>
      <c r="I1250" s="7" t="str">
        <f t="array" ref="I1250">IF(ISBLANK(F1250), "", INDEX(Categories!$B:$B,MATCH(F1250,Categories!$A:$A,0)))</f>
        <v/>
      </c>
      <c r="J1250" s="4"/>
      <c r="K1250" s="4"/>
      <c r="L1250" s="4"/>
      <c r="M1250" s="4"/>
      <c r="N1250" s="4"/>
      <c r="O1250" s="4"/>
      <c r="P1250" s="4"/>
      <c r="Q1250" s="4"/>
    </row>
    <row r="1251">
      <c r="A1251" s="5">
        <v>1250.0</v>
      </c>
      <c r="B1251" s="5" t="s">
        <v>1637</v>
      </c>
      <c r="C1251" s="5" t="s">
        <v>346</v>
      </c>
      <c r="D1251" s="6">
        <f>IFERROR(__xludf.DUMMYFUNCTION("SPLIT(MID(C1251,2,LEN(C1251)-2), "","")"),610.0)</f>
        <v>610</v>
      </c>
      <c r="E1251" s="7"/>
      <c r="F1251" s="7"/>
      <c r="G1251" s="2" t="str">
        <f t="array" ref="G1251">IF(ISBLANK(D1251), "", INDEX(Categories!$B:$B,MATCH(D1251,Categories!$A:$A,0)))</f>
        <v>Supermarkets &amp; Super Stores</v>
      </c>
      <c r="H1251" s="7" t="str">
        <f t="array" ref="H1251">IF(ISBLANK(E1251), "", INDEX(Categories!$B:$B,MATCH(E1251,Categories!$A:$A,0)))</f>
        <v/>
      </c>
      <c r="I1251" s="7" t="str">
        <f t="array" ref="I1251">IF(ISBLANK(F1251), "", INDEX(Categories!$B:$B,MATCH(F1251,Categories!$A:$A,0)))</f>
        <v/>
      </c>
      <c r="J1251" s="4"/>
      <c r="K1251" s="4"/>
      <c r="L1251" s="4"/>
      <c r="M1251" s="4"/>
      <c r="N1251" s="4"/>
      <c r="O1251" s="4"/>
      <c r="P1251" s="4"/>
      <c r="Q1251" s="4"/>
    </row>
    <row r="1252">
      <c r="A1252" s="5">
        <v>1251.0</v>
      </c>
      <c r="B1252" s="5" t="s">
        <v>1638</v>
      </c>
      <c r="C1252" s="5" t="s">
        <v>730</v>
      </c>
      <c r="D1252" s="6">
        <f>IFERROR(__xludf.DUMMYFUNCTION("SPLIT(MID(C1252,2,LEN(C1252)-2), "","")"),2765.0)</f>
        <v>2765</v>
      </c>
      <c r="E1252" s="7"/>
      <c r="F1252" s="7"/>
      <c r="G1252" s="2" t="str">
        <f t="array" ref="G1252">IF(ISBLANK(D1252), "", INDEX(Categories!$B:$B,MATCH(D1252,Categories!$A:$A,0)))</f>
        <v>Miscellaneous Business Services</v>
      </c>
      <c r="H1252" s="7" t="str">
        <f t="array" ref="H1252">IF(ISBLANK(E1252), "", INDEX(Categories!$B:$B,MATCH(E1252,Categories!$A:$A,0)))</f>
        <v/>
      </c>
      <c r="I1252" s="7" t="str">
        <f t="array" ref="I1252">IF(ISBLANK(F1252), "", INDEX(Categories!$B:$B,MATCH(F1252,Categories!$A:$A,0)))</f>
        <v/>
      </c>
      <c r="J1252" s="4"/>
      <c r="K1252" s="4"/>
      <c r="L1252" s="4"/>
      <c r="M1252" s="4"/>
      <c r="N1252" s="4"/>
      <c r="O1252" s="4"/>
      <c r="P1252" s="4"/>
      <c r="Q1252" s="4"/>
    </row>
    <row r="1253">
      <c r="A1253" s="5">
        <v>1252.0</v>
      </c>
      <c r="B1253" s="5" t="s">
        <v>1639</v>
      </c>
      <c r="C1253" s="5" t="s">
        <v>1640</v>
      </c>
      <c r="D1253" s="6">
        <f>IFERROR(__xludf.DUMMYFUNCTION("SPLIT(MID(C1253,2,LEN(C1253)-2), "","")"),2559.0)</f>
        <v>2559</v>
      </c>
      <c r="E1253" s="7"/>
      <c r="F1253" s="7"/>
      <c r="G1253" s="2" t="str">
        <f t="array" ref="G1253">IF(ISBLANK(D1253), "", INDEX(Categories!$B:$B,MATCH(D1253,Categories!$A:$A,0)))</f>
        <v>Odor Control Household &amp; Commercial</v>
      </c>
      <c r="H1253" s="7" t="str">
        <f t="array" ref="H1253">IF(ISBLANK(E1253), "", INDEX(Categories!$B:$B,MATCH(E1253,Categories!$A:$A,0)))</f>
        <v/>
      </c>
      <c r="I1253" s="7" t="str">
        <f t="array" ref="I1253">IF(ISBLANK(F1253), "", INDEX(Categories!$B:$B,MATCH(F1253,Categories!$A:$A,0)))</f>
        <v/>
      </c>
      <c r="J1253" s="4"/>
      <c r="K1253" s="4"/>
      <c r="L1253" s="4"/>
      <c r="M1253" s="4"/>
      <c r="N1253" s="4"/>
      <c r="O1253" s="4"/>
      <c r="P1253" s="4"/>
      <c r="Q1253" s="4"/>
    </row>
    <row r="1254">
      <c r="A1254" s="5">
        <v>1253.0</v>
      </c>
      <c r="B1254" s="5" t="s">
        <v>1641</v>
      </c>
      <c r="C1254" s="5" t="s">
        <v>179</v>
      </c>
      <c r="D1254" s="6">
        <f>IFERROR(__xludf.DUMMYFUNCTION("SPLIT(MID(C1254,2,LEN(C1254)-2), "","")"),2247.0)</f>
        <v>2247</v>
      </c>
      <c r="E1254" s="7"/>
      <c r="F1254" s="7"/>
      <c r="G1254" s="2" t="str">
        <f t="array" ref="G1254">IF(ISBLANK(D1254), "", INDEX(Categories!$B:$B,MATCH(D1254,Categories!$A:$A,0)))</f>
        <v>Copying &amp; Duplicating Service</v>
      </c>
      <c r="H1254" s="7" t="str">
        <f t="array" ref="H1254">IF(ISBLANK(E1254), "", INDEX(Categories!$B:$B,MATCH(E1254,Categories!$A:$A,0)))</f>
        <v/>
      </c>
      <c r="I1254" s="7" t="str">
        <f t="array" ref="I1254">IF(ISBLANK(F1254), "", INDEX(Categories!$B:$B,MATCH(F1254,Categories!$A:$A,0)))</f>
        <v/>
      </c>
      <c r="J1254" s="4"/>
      <c r="K1254" s="4"/>
      <c r="L1254" s="4"/>
      <c r="M1254" s="4"/>
      <c r="N1254" s="4"/>
      <c r="O1254" s="4"/>
      <c r="P1254" s="4"/>
      <c r="Q1254" s="4"/>
    </row>
    <row r="1255">
      <c r="A1255" s="5">
        <v>1254.0</v>
      </c>
      <c r="B1255" s="5" t="s">
        <v>1642</v>
      </c>
      <c r="C1255" s="5" t="s">
        <v>188</v>
      </c>
      <c r="D1255" s="6">
        <f>IFERROR(__xludf.DUMMYFUNCTION("SPLIT(MID(C1255,2,LEN(C1255)-2), "","")"),534.0)</f>
        <v>534</v>
      </c>
      <c r="E1255" s="7"/>
      <c r="F1255" s="7"/>
      <c r="G1255" s="2" t="str">
        <f t="array" ref="G1255">IF(ISBLANK(D1255), "", INDEX(Categories!$B:$B,MATCH(D1255,Categories!$A:$A,0)))</f>
        <v>Moving Services</v>
      </c>
      <c r="H1255" s="7" t="str">
        <f t="array" ref="H1255">IF(ISBLANK(E1255), "", INDEX(Categories!$B:$B,MATCH(E1255,Categories!$A:$A,0)))</f>
        <v/>
      </c>
      <c r="I1255" s="7" t="str">
        <f t="array" ref="I1255">IF(ISBLANK(F1255), "", INDEX(Categories!$B:$B,MATCH(F1255,Categories!$A:$A,0)))</f>
        <v/>
      </c>
      <c r="J1255" s="4"/>
      <c r="K1255" s="4"/>
      <c r="L1255" s="4"/>
      <c r="M1255" s="4"/>
      <c r="N1255" s="4"/>
      <c r="O1255" s="4"/>
      <c r="P1255" s="4"/>
      <c r="Q1255" s="4"/>
    </row>
    <row r="1256">
      <c r="A1256" s="5">
        <v>1255.0</v>
      </c>
      <c r="B1256" s="5" t="s">
        <v>1643</v>
      </c>
      <c r="C1256" s="5" t="s">
        <v>1644</v>
      </c>
      <c r="D1256" s="6">
        <f>IFERROR(__xludf.DUMMYFUNCTION("SPLIT(MID(C1256,2,LEN(C1256)-2), "","")"),2315.0)</f>
        <v>2315</v>
      </c>
      <c r="E1256" s="7"/>
      <c r="F1256" s="7"/>
      <c r="G1256" s="2" t="str">
        <f t="array" ref="G1256">IF(ISBLANK(D1256), "", INDEX(Categories!$B:$B,MATCH(D1256,Categories!$A:$A,0)))</f>
        <v>Lawn &amp; Garden Equipment &amp; Supplies Wholesale &amp; Manufacturers</v>
      </c>
      <c r="H1256" s="7" t="str">
        <f t="array" ref="H1256">IF(ISBLANK(E1256), "", INDEX(Categories!$B:$B,MATCH(E1256,Categories!$A:$A,0)))</f>
        <v/>
      </c>
      <c r="I1256" s="7" t="str">
        <f t="array" ref="I1256">IF(ISBLANK(F1256), "", INDEX(Categories!$B:$B,MATCH(F1256,Categories!$A:$A,0)))</f>
        <v/>
      </c>
      <c r="J1256" s="4"/>
      <c r="K1256" s="4"/>
      <c r="L1256" s="4"/>
      <c r="M1256" s="4"/>
      <c r="N1256" s="4"/>
      <c r="O1256" s="4"/>
      <c r="P1256" s="4"/>
      <c r="Q1256" s="4"/>
    </row>
    <row r="1257">
      <c r="A1257" s="5">
        <v>1256.0</v>
      </c>
      <c r="B1257" s="5" t="s">
        <v>1645</v>
      </c>
      <c r="C1257" s="5" t="s">
        <v>69</v>
      </c>
      <c r="D1257" s="6">
        <f>IFERROR(__xludf.DUMMYFUNCTION("SPLIT(MID(C1257,2,LEN(C1257)-2), "","")"),293.0)</f>
        <v>293</v>
      </c>
      <c r="E1257" s="7"/>
      <c r="F1257" s="7"/>
      <c r="G1257" s="2" t="str">
        <f t="array" ref="G1257">IF(ISBLANK(D1257), "", INDEX(Categories!$B:$B,MATCH(D1257,Categories!$A:$A,0)))</f>
        <v>Banks Commercial</v>
      </c>
      <c r="H1257" s="7" t="str">
        <f t="array" ref="H1257">IF(ISBLANK(E1257), "", INDEX(Categories!$B:$B,MATCH(E1257,Categories!$A:$A,0)))</f>
        <v/>
      </c>
      <c r="I1257" s="7" t="str">
        <f t="array" ref="I1257">IF(ISBLANK(F1257), "", INDEX(Categories!$B:$B,MATCH(F1257,Categories!$A:$A,0)))</f>
        <v/>
      </c>
      <c r="J1257" s="4"/>
      <c r="K1257" s="4"/>
      <c r="L1257" s="4"/>
      <c r="M1257" s="4"/>
      <c r="N1257" s="4"/>
      <c r="O1257" s="4"/>
      <c r="P1257" s="4"/>
      <c r="Q1257" s="4"/>
    </row>
    <row r="1258">
      <c r="A1258" s="5">
        <v>1257.0</v>
      </c>
      <c r="B1258" s="5" t="s">
        <v>1646</v>
      </c>
      <c r="C1258" s="5" t="s">
        <v>1647</v>
      </c>
      <c r="D1258" s="6">
        <f>IFERROR(__xludf.DUMMYFUNCTION("SPLIT(MID(C1258,2,LEN(C1258)-2), "","")"),64.0)</f>
        <v>64</v>
      </c>
      <c r="E1258" s="7"/>
      <c r="F1258" s="7"/>
      <c r="G1258" s="2" t="str">
        <f t="array" ref="G1258">IF(ISBLANK(D1258), "", INDEX(Categories!$B:$B,MATCH(D1258,Categories!$A:$A,0)))</f>
        <v>Batteries Retail</v>
      </c>
      <c r="H1258" s="7" t="str">
        <f t="array" ref="H1258">IF(ISBLANK(E1258), "", INDEX(Categories!$B:$B,MATCH(E1258,Categories!$A:$A,0)))</f>
        <v/>
      </c>
      <c r="I1258" s="7" t="str">
        <f t="array" ref="I1258">IF(ISBLANK(F1258), "", INDEX(Categories!$B:$B,MATCH(F1258,Categories!$A:$A,0)))</f>
        <v/>
      </c>
      <c r="J1258" s="4"/>
      <c r="K1258" s="4"/>
      <c r="L1258" s="4"/>
      <c r="M1258" s="4"/>
      <c r="N1258" s="4"/>
      <c r="O1258" s="4"/>
      <c r="P1258" s="4"/>
      <c r="Q1258" s="4"/>
    </row>
    <row r="1259">
      <c r="A1259" s="5">
        <v>1258.0</v>
      </c>
      <c r="B1259" s="5" t="s">
        <v>1648</v>
      </c>
      <c r="C1259" s="5" t="s">
        <v>34</v>
      </c>
      <c r="D1259" s="6">
        <f>IFERROR(__xludf.DUMMYFUNCTION("SPLIT(MID(C1259,2,LEN(C1259)-2), "","")"),228.0)</f>
        <v>228</v>
      </c>
      <c r="E1259" s="7"/>
      <c r="F1259" s="7"/>
      <c r="G1259" s="2" t="str">
        <f t="array" ref="G1259">IF(ISBLANK(D1259), "", INDEX(Categories!$B:$B,MATCH(D1259,Categories!$A:$A,0)))</f>
        <v>Restaurants</v>
      </c>
      <c r="H1259" s="7" t="str">
        <f t="array" ref="H1259">IF(ISBLANK(E1259), "", INDEX(Categories!$B:$B,MATCH(E1259,Categories!$A:$A,0)))</f>
        <v/>
      </c>
      <c r="I1259" s="7" t="str">
        <f t="array" ref="I1259">IF(ISBLANK(F1259), "", INDEX(Categories!$B:$B,MATCH(F1259,Categories!$A:$A,0)))</f>
        <v/>
      </c>
      <c r="J1259" s="4"/>
      <c r="K1259" s="4"/>
      <c r="L1259" s="4"/>
      <c r="M1259" s="4"/>
      <c r="N1259" s="4"/>
      <c r="O1259" s="4"/>
      <c r="P1259" s="4"/>
      <c r="Q1259" s="4"/>
    </row>
    <row r="1260">
      <c r="A1260" s="5">
        <v>1259.0</v>
      </c>
      <c r="B1260" s="5" t="s">
        <v>1649</v>
      </c>
      <c r="C1260" s="5" t="s">
        <v>62</v>
      </c>
      <c r="D1260" s="6">
        <f>IFERROR(__xludf.DUMMYFUNCTION("SPLIT(MID(C1260,2,LEN(C1260)-2), "","")"),242.0)</f>
        <v>242</v>
      </c>
      <c r="E1260" s="7"/>
      <c r="F1260" s="7"/>
      <c r="G1260" s="2" t="str">
        <f t="array" ref="G1260">IF(ISBLANK(D1260), "", INDEX(Categories!$B:$B,MATCH(D1260,Categories!$A:$A,0)))</f>
        <v>Restaurants Pizza</v>
      </c>
      <c r="H1260" s="7" t="str">
        <f t="array" ref="H1260">IF(ISBLANK(E1260), "", INDEX(Categories!$B:$B,MATCH(E1260,Categories!$A:$A,0)))</f>
        <v/>
      </c>
      <c r="I1260" s="7" t="str">
        <f t="array" ref="I1260">IF(ISBLANK(F1260), "", INDEX(Categories!$B:$B,MATCH(F1260,Categories!$A:$A,0)))</f>
        <v/>
      </c>
      <c r="J1260" s="4"/>
      <c r="K1260" s="4"/>
      <c r="L1260" s="4"/>
      <c r="M1260" s="4"/>
      <c r="N1260" s="4"/>
      <c r="O1260" s="4"/>
      <c r="P1260" s="4"/>
      <c r="Q1260" s="4"/>
    </row>
    <row r="1261">
      <c r="A1261" s="5">
        <v>1260.0</v>
      </c>
      <c r="B1261" s="5" t="s">
        <v>1650</v>
      </c>
      <c r="C1261" s="5" t="s">
        <v>62</v>
      </c>
      <c r="D1261" s="6">
        <f>IFERROR(__xludf.DUMMYFUNCTION("SPLIT(MID(C1261,2,LEN(C1261)-2), "","")"),242.0)</f>
        <v>242</v>
      </c>
      <c r="E1261" s="7"/>
      <c r="F1261" s="7"/>
      <c r="G1261" s="2" t="str">
        <f t="array" ref="G1261">IF(ISBLANK(D1261), "", INDEX(Categories!$B:$B,MATCH(D1261,Categories!$A:$A,0)))</f>
        <v>Restaurants Pizza</v>
      </c>
      <c r="H1261" s="7" t="str">
        <f t="array" ref="H1261">IF(ISBLANK(E1261), "", INDEX(Categories!$B:$B,MATCH(E1261,Categories!$A:$A,0)))</f>
        <v/>
      </c>
      <c r="I1261" s="7" t="str">
        <f t="array" ref="I1261">IF(ISBLANK(F1261), "", INDEX(Categories!$B:$B,MATCH(F1261,Categories!$A:$A,0)))</f>
        <v/>
      </c>
      <c r="J1261" s="4"/>
      <c r="K1261" s="4"/>
      <c r="L1261" s="4"/>
      <c r="M1261" s="4"/>
      <c r="N1261" s="4"/>
      <c r="O1261" s="4"/>
      <c r="P1261" s="4"/>
      <c r="Q1261" s="4"/>
    </row>
    <row r="1262">
      <c r="A1262" s="5">
        <v>1261.0</v>
      </c>
      <c r="B1262" s="5" t="s">
        <v>1651</v>
      </c>
      <c r="C1262" s="5" t="s">
        <v>847</v>
      </c>
      <c r="D1262" s="6">
        <f>IFERROR(__xludf.DUMMYFUNCTION("SPLIT(MID(C1262,2,LEN(C1262)-2), "","")"),728.0)</f>
        <v>728</v>
      </c>
      <c r="E1262" s="7"/>
      <c r="F1262" s="7"/>
      <c r="G1262" s="2" t="str">
        <f t="array" ref="G1262">IF(ISBLANK(D1262), "", INDEX(Categories!$B:$B,MATCH(D1262,Categories!$A:$A,0)))</f>
        <v>Airline Companies</v>
      </c>
      <c r="H1262" s="7" t="str">
        <f t="array" ref="H1262">IF(ISBLANK(E1262), "", INDEX(Categories!$B:$B,MATCH(E1262,Categories!$A:$A,0)))</f>
        <v/>
      </c>
      <c r="I1262" s="7" t="str">
        <f t="array" ref="I1262">IF(ISBLANK(F1262), "", INDEX(Categories!$B:$B,MATCH(F1262,Categories!$A:$A,0)))</f>
        <v/>
      </c>
      <c r="J1262" s="4"/>
      <c r="K1262" s="4"/>
      <c r="L1262" s="4"/>
      <c r="M1262" s="4"/>
      <c r="N1262" s="4"/>
      <c r="O1262" s="4"/>
      <c r="P1262" s="4"/>
      <c r="Q1262" s="4"/>
    </row>
    <row r="1263">
      <c r="A1263" s="5">
        <v>1262.0</v>
      </c>
      <c r="B1263" s="5" t="s">
        <v>1652</v>
      </c>
      <c r="C1263" s="5" t="s">
        <v>528</v>
      </c>
      <c r="D1263" s="6">
        <f>IFERROR(__xludf.DUMMYFUNCTION("SPLIT(MID(C1263,2,LEN(C1263)-2), "","")"),938.0)</f>
        <v>938</v>
      </c>
      <c r="E1263" s="7"/>
      <c r="F1263" s="7"/>
      <c r="G1263" s="2" t="str">
        <f t="array" ref="G1263">IF(ISBLANK(D1263), "", INDEX(Categories!$B:$B,MATCH(D1263,Categories!$A:$A,0)))</f>
        <v>Mortgages Brokers</v>
      </c>
      <c r="H1263" s="7" t="str">
        <f t="array" ref="H1263">IF(ISBLANK(E1263), "", INDEX(Categories!$B:$B,MATCH(E1263,Categories!$A:$A,0)))</f>
        <v/>
      </c>
      <c r="I1263" s="7" t="str">
        <f t="array" ref="I1263">IF(ISBLANK(F1263), "", INDEX(Categories!$B:$B,MATCH(F1263,Categories!$A:$A,0)))</f>
        <v/>
      </c>
      <c r="J1263" s="4"/>
      <c r="K1263" s="4"/>
      <c r="L1263" s="4"/>
      <c r="M1263" s="4"/>
      <c r="N1263" s="4"/>
      <c r="O1263" s="4"/>
      <c r="P1263" s="4"/>
      <c r="Q1263" s="4"/>
    </row>
    <row r="1264">
      <c r="A1264" s="5">
        <v>1263.0</v>
      </c>
      <c r="B1264" s="5" t="s">
        <v>1653</v>
      </c>
      <c r="C1264" s="5" t="s">
        <v>1536</v>
      </c>
      <c r="D1264" s="6">
        <f>IFERROR(__xludf.DUMMYFUNCTION("SPLIT(MID(C1264,2,LEN(C1264)-2), "","")"),1106.0)</f>
        <v>1106</v>
      </c>
      <c r="E1264" s="7"/>
      <c r="F1264" s="7"/>
      <c r="G1264" s="2" t="str">
        <f t="array" ref="G1264">IF(ISBLANK(D1264), "", INDEX(Categories!$B:$B,MATCH(D1264,Categories!$A:$A,0)))</f>
        <v>Airline Ticket Agencies</v>
      </c>
      <c r="H1264" s="7" t="str">
        <f t="array" ref="H1264">IF(ISBLANK(E1264), "", INDEX(Categories!$B:$B,MATCH(E1264,Categories!$A:$A,0)))</f>
        <v/>
      </c>
      <c r="I1264" s="7" t="str">
        <f t="array" ref="I1264">IF(ISBLANK(F1264), "", INDEX(Categories!$B:$B,MATCH(F1264,Categories!$A:$A,0)))</f>
        <v/>
      </c>
      <c r="J1264" s="4"/>
      <c r="K1264" s="4"/>
      <c r="L1264" s="4"/>
      <c r="M1264" s="4"/>
      <c r="N1264" s="4"/>
      <c r="O1264" s="4"/>
      <c r="P1264" s="4"/>
      <c r="Q1264" s="4"/>
    </row>
    <row r="1265">
      <c r="A1265" s="5">
        <v>1264.0</v>
      </c>
      <c r="B1265" s="5" t="s">
        <v>1654</v>
      </c>
      <c r="C1265" s="5" t="s">
        <v>528</v>
      </c>
      <c r="D1265" s="6">
        <f>IFERROR(__xludf.DUMMYFUNCTION("SPLIT(MID(C1265,2,LEN(C1265)-2), "","")"),938.0)</f>
        <v>938</v>
      </c>
      <c r="E1265" s="7"/>
      <c r="F1265" s="7"/>
      <c r="G1265" s="2" t="str">
        <f t="array" ref="G1265">IF(ISBLANK(D1265), "", INDEX(Categories!$B:$B,MATCH(D1265,Categories!$A:$A,0)))</f>
        <v>Mortgages Brokers</v>
      </c>
      <c r="H1265" s="7" t="str">
        <f t="array" ref="H1265">IF(ISBLANK(E1265), "", INDEX(Categories!$B:$B,MATCH(E1265,Categories!$A:$A,0)))</f>
        <v/>
      </c>
      <c r="I1265" s="7" t="str">
        <f t="array" ref="I1265">IF(ISBLANK(F1265), "", INDEX(Categories!$B:$B,MATCH(F1265,Categories!$A:$A,0)))</f>
        <v/>
      </c>
      <c r="J1265" s="4"/>
      <c r="K1265" s="4"/>
      <c r="L1265" s="4"/>
      <c r="M1265" s="4"/>
      <c r="N1265" s="4"/>
      <c r="O1265" s="4"/>
      <c r="P1265" s="4"/>
      <c r="Q1265" s="4"/>
    </row>
    <row r="1266">
      <c r="A1266" s="5">
        <v>1265.0</v>
      </c>
      <c r="B1266" s="5" t="s">
        <v>1655</v>
      </c>
      <c r="C1266" s="5" t="s">
        <v>1507</v>
      </c>
      <c r="D1266" s="6">
        <f>IFERROR(__xludf.DUMMYFUNCTION("SPLIT(MID(C1266,2,LEN(C1266)-2), "","")"),2528.0)</f>
        <v>2528</v>
      </c>
      <c r="E1266" s="7"/>
      <c r="F1266" s="7"/>
      <c r="G1266" s="2" t="str">
        <f t="array" ref="G1266">IF(ISBLANK(D1266), "", INDEX(Categories!$B:$B,MATCH(D1266,Categories!$A:$A,0)))</f>
        <v>Cleaning Services &amp; Supplies</v>
      </c>
      <c r="H1266" s="7" t="str">
        <f t="array" ref="H1266">IF(ISBLANK(E1266), "", INDEX(Categories!$B:$B,MATCH(E1266,Categories!$A:$A,0)))</f>
        <v/>
      </c>
      <c r="I1266" s="7" t="str">
        <f t="array" ref="I1266">IF(ISBLANK(F1266), "", INDEX(Categories!$B:$B,MATCH(F1266,Categories!$A:$A,0)))</f>
        <v/>
      </c>
      <c r="J1266" s="4"/>
      <c r="K1266" s="4"/>
      <c r="L1266" s="4"/>
      <c r="M1266" s="4"/>
      <c r="N1266" s="4"/>
      <c r="O1266" s="4"/>
      <c r="P1266" s="4"/>
      <c r="Q1266" s="4"/>
    </row>
    <row r="1267">
      <c r="A1267" s="5">
        <v>1266.0</v>
      </c>
      <c r="B1267" s="5" t="s">
        <v>1656</v>
      </c>
      <c r="C1267" s="5" t="s">
        <v>501</v>
      </c>
      <c r="D1267" s="6">
        <f>IFERROR(__xludf.DUMMYFUNCTION("SPLIT(MID(C1267,2,LEN(C1267)-2), "","")"),896.0)</f>
        <v>896</v>
      </c>
      <c r="E1267" s="7"/>
      <c r="F1267" s="7"/>
      <c r="G1267" s="2" t="str">
        <f t="array" ref="G1267">IF(ISBLANK(D1267), "", INDEX(Categories!$B:$B,MATCH(D1267,Categories!$A:$A,0)))</f>
        <v>Check Cashing Service</v>
      </c>
      <c r="H1267" s="7" t="str">
        <f t="array" ref="H1267">IF(ISBLANK(E1267), "", INDEX(Categories!$B:$B,MATCH(E1267,Categories!$A:$A,0)))</f>
        <v/>
      </c>
      <c r="I1267" s="7" t="str">
        <f t="array" ref="I1267">IF(ISBLANK(F1267), "", INDEX(Categories!$B:$B,MATCH(F1267,Categories!$A:$A,0)))</f>
        <v/>
      </c>
      <c r="J1267" s="4"/>
      <c r="K1267" s="4"/>
      <c r="L1267" s="4"/>
      <c r="M1267" s="4"/>
      <c r="N1267" s="4"/>
      <c r="O1267" s="4"/>
      <c r="P1267" s="4"/>
      <c r="Q1267" s="4"/>
    </row>
    <row r="1268">
      <c r="A1268" s="5">
        <v>1267.0</v>
      </c>
      <c r="B1268" s="5" t="s">
        <v>1657</v>
      </c>
      <c r="C1268" s="5" t="s">
        <v>463</v>
      </c>
      <c r="D1268" s="6">
        <f>IFERROR(__xludf.DUMMYFUNCTION("SPLIT(MID(C1268,2,LEN(C1268)-2), "","")"),2604.0)</f>
        <v>2604</v>
      </c>
      <c r="E1268" s="7"/>
      <c r="F1268" s="7"/>
      <c r="G1268" s="2" t="str">
        <f t="array" ref="G1268">IF(ISBLANK(D1268), "", INDEX(Categories!$B:$B,MATCH(D1268,Categories!$A:$A,0)))</f>
        <v>Health Clubs</v>
      </c>
      <c r="H1268" s="7" t="str">
        <f t="array" ref="H1268">IF(ISBLANK(E1268), "", INDEX(Categories!$B:$B,MATCH(E1268,Categories!$A:$A,0)))</f>
        <v/>
      </c>
      <c r="I1268" s="7" t="str">
        <f t="array" ref="I1268">IF(ISBLANK(F1268), "", INDEX(Categories!$B:$B,MATCH(F1268,Categories!$A:$A,0)))</f>
        <v/>
      </c>
      <c r="J1268" s="4"/>
      <c r="K1268" s="4"/>
      <c r="L1268" s="4"/>
      <c r="M1268" s="4"/>
      <c r="N1268" s="4"/>
      <c r="O1268" s="4"/>
      <c r="P1268" s="4"/>
      <c r="Q1268" s="4"/>
    </row>
    <row r="1269">
      <c r="A1269" s="5">
        <v>1268.0</v>
      </c>
      <c r="B1269" s="5" t="s">
        <v>1658</v>
      </c>
      <c r="C1269" s="5" t="s">
        <v>522</v>
      </c>
      <c r="D1269" s="6">
        <f>IFERROR(__xludf.DUMMYFUNCTION("SPLIT(MID(C1269,2,LEN(C1269)-2), "","")"),683.0)</f>
        <v>683</v>
      </c>
      <c r="E1269" s="7"/>
      <c r="F1269" s="7"/>
      <c r="G1269" s="2" t="str">
        <f t="array" ref="G1269">IF(ISBLANK(D1269), "", INDEX(Categories!$B:$B,MATCH(D1269,Categories!$A:$A,0)))</f>
        <v>Bakeries</v>
      </c>
      <c r="H1269" s="7" t="str">
        <f t="array" ref="H1269">IF(ISBLANK(E1269), "", INDEX(Categories!$B:$B,MATCH(E1269,Categories!$A:$A,0)))</f>
        <v/>
      </c>
      <c r="I1269" s="7" t="str">
        <f t="array" ref="I1269">IF(ISBLANK(F1269), "", INDEX(Categories!$B:$B,MATCH(F1269,Categories!$A:$A,0)))</f>
        <v/>
      </c>
      <c r="J1269" s="4"/>
      <c r="K1269" s="4"/>
      <c r="L1269" s="4"/>
      <c r="M1269" s="4"/>
      <c r="N1269" s="4"/>
      <c r="O1269" s="4"/>
      <c r="P1269" s="4"/>
      <c r="Q1269" s="4"/>
    </row>
    <row r="1270">
      <c r="A1270" s="5">
        <v>1269.0</v>
      </c>
      <c r="B1270" s="5" t="s">
        <v>1659</v>
      </c>
      <c r="C1270" s="5" t="s">
        <v>324</v>
      </c>
      <c r="D1270" s="6">
        <f>IFERROR(__xludf.DUMMYFUNCTION("SPLIT(MID(C1270,2,LEN(C1270)-2), "","")"),290.0)</f>
        <v>290</v>
      </c>
      <c r="E1270" s="7"/>
      <c r="F1270" s="7"/>
      <c r="G1270" s="2" t="str">
        <f t="array" ref="G1270">IF(ISBLANK(D1270), "", INDEX(Categories!$B:$B,MATCH(D1270,Categories!$A:$A,0)))</f>
        <v>Banks &amp; Credit Unions</v>
      </c>
      <c r="H1270" s="7" t="str">
        <f t="array" ref="H1270">IF(ISBLANK(E1270), "", INDEX(Categories!$B:$B,MATCH(E1270,Categories!$A:$A,0)))</f>
        <v/>
      </c>
      <c r="I1270" s="7" t="str">
        <f t="array" ref="I1270">IF(ISBLANK(F1270), "", INDEX(Categories!$B:$B,MATCH(F1270,Categories!$A:$A,0)))</f>
        <v/>
      </c>
      <c r="J1270" s="4"/>
      <c r="K1270" s="4"/>
      <c r="L1270" s="4"/>
      <c r="M1270" s="4"/>
      <c r="N1270" s="4"/>
      <c r="O1270" s="4"/>
      <c r="P1270" s="4"/>
      <c r="Q1270" s="4"/>
    </row>
    <row r="1271">
      <c r="A1271" s="5">
        <v>1270.0</v>
      </c>
      <c r="B1271" s="5" t="s">
        <v>1660</v>
      </c>
      <c r="C1271" s="5" t="s">
        <v>69</v>
      </c>
      <c r="D1271" s="6">
        <f>IFERROR(__xludf.DUMMYFUNCTION("SPLIT(MID(C1271,2,LEN(C1271)-2), "","")"),293.0)</f>
        <v>293</v>
      </c>
      <c r="E1271" s="7"/>
      <c r="F1271" s="7"/>
      <c r="G1271" s="2" t="str">
        <f t="array" ref="G1271">IF(ISBLANK(D1271), "", INDEX(Categories!$B:$B,MATCH(D1271,Categories!$A:$A,0)))</f>
        <v>Banks Commercial</v>
      </c>
      <c r="H1271" s="7" t="str">
        <f t="array" ref="H1271">IF(ISBLANK(E1271), "", INDEX(Categories!$B:$B,MATCH(E1271,Categories!$A:$A,0)))</f>
        <v/>
      </c>
      <c r="I1271" s="7" t="str">
        <f t="array" ref="I1271">IF(ISBLANK(F1271), "", INDEX(Categories!$B:$B,MATCH(F1271,Categories!$A:$A,0)))</f>
        <v/>
      </c>
      <c r="J1271" s="4"/>
      <c r="K1271" s="4"/>
      <c r="L1271" s="4"/>
      <c r="M1271" s="4"/>
      <c r="N1271" s="4"/>
      <c r="O1271" s="4"/>
      <c r="P1271" s="4"/>
      <c r="Q1271" s="4"/>
    </row>
    <row r="1272">
      <c r="A1272" s="5">
        <v>1271.0</v>
      </c>
      <c r="B1272" s="5" t="s">
        <v>1661</v>
      </c>
      <c r="C1272" s="5" t="s">
        <v>451</v>
      </c>
      <c r="D1272" s="6">
        <f>IFERROR(__xludf.DUMMYFUNCTION("SPLIT(MID(C1272,2,LEN(C1272)-2), "","")"),2192.0)</f>
        <v>2192</v>
      </c>
      <c r="E1272" s="7"/>
      <c r="F1272" s="7"/>
      <c r="G1272" s="2" t="str">
        <f t="array" ref="G1272">IF(ISBLANK(D1272), "", INDEX(Categories!$B:$B,MATCH(D1272,Categories!$A:$A,0)))</f>
        <v>Industrial Equipment &amp; Supplies</v>
      </c>
      <c r="H1272" s="7" t="str">
        <f t="array" ref="H1272">IF(ISBLANK(E1272), "", INDEX(Categories!$B:$B,MATCH(E1272,Categories!$A:$A,0)))</f>
        <v/>
      </c>
      <c r="I1272" s="7" t="str">
        <f t="array" ref="I1272">IF(ISBLANK(F1272), "", INDEX(Categories!$B:$B,MATCH(F1272,Categories!$A:$A,0)))</f>
        <v/>
      </c>
      <c r="J1272" s="4"/>
      <c r="K1272" s="4"/>
      <c r="L1272" s="4"/>
      <c r="M1272" s="4"/>
      <c r="N1272" s="4"/>
      <c r="O1272" s="4"/>
      <c r="P1272" s="4"/>
      <c r="Q1272" s="4"/>
    </row>
    <row r="1273">
      <c r="A1273" s="5">
        <v>1272.0</v>
      </c>
      <c r="B1273" s="5" t="s">
        <v>1662</v>
      </c>
      <c r="C1273" s="5" t="s">
        <v>631</v>
      </c>
      <c r="D1273" s="6">
        <f>IFERROR(__xludf.DUMMYFUNCTION("SPLIT(MID(C1273,2,LEN(C1273)-2), "","")"),25.0)</f>
        <v>25</v>
      </c>
      <c r="E1273" s="7"/>
      <c r="F1273" s="7"/>
      <c r="G1273" s="2" t="str">
        <f t="array" ref="G1273">IF(ISBLANK(D1273), "", INDEX(Categories!$B:$B,MATCH(D1273,Categories!$A:$A,0)))</f>
        <v>Furniture Dealers</v>
      </c>
      <c r="H1273" s="7" t="str">
        <f t="array" ref="H1273">IF(ISBLANK(E1273), "", INDEX(Categories!$B:$B,MATCH(E1273,Categories!$A:$A,0)))</f>
        <v/>
      </c>
      <c r="I1273" s="7" t="str">
        <f t="array" ref="I1273">IF(ISBLANK(F1273), "", INDEX(Categories!$B:$B,MATCH(F1273,Categories!$A:$A,0)))</f>
        <v/>
      </c>
      <c r="J1273" s="4"/>
      <c r="K1273" s="4"/>
      <c r="L1273" s="4"/>
      <c r="M1273" s="4"/>
      <c r="N1273" s="4"/>
      <c r="O1273" s="4"/>
      <c r="P1273" s="4"/>
      <c r="Q1273" s="4"/>
    </row>
    <row r="1274">
      <c r="A1274" s="5">
        <v>1273.0</v>
      </c>
      <c r="B1274" s="5" t="s">
        <v>1663</v>
      </c>
      <c r="C1274" s="5" t="s">
        <v>170</v>
      </c>
      <c r="D1274" s="6">
        <f>IFERROR(__xludf.DUMMYFUNCTION("SPLIT(MID(C1274,2,LEN(C1274)-2), "","")"),189.0)</f>
        <v>189</v>
      </c>
      <c r="E1274" s="7"/>
      <c r="F1274" s="7"/>
      <c r="G1274" s="2" t="str">
        <f t="array" ref="G1274">IF(ISBLANK(D1274), "", INDEX(Categories!$B:$B,MATCH(D1274,Categories!$A:$A,0)))</f>
        <v>Pharmacies</v>
      </c>
      <c r="H1274" s="7" t="str">
        <f t="array" ref="H1274">IF(ISBLANK(E1274), "", INDEX(Categories!$B:$B,MATCH(E1274,Categories!$A:$A,0)))</f>
        <v/>
      </c>
      <c r="I1274" s="7" t="str">
        <f t="array" ref="I1274">IF(ISBLANK(F1274), "", INDEX(Categories!$B:$B,MATCH(F1274,Categories!$A:$A,0)))</f>
        <v/>
      </c>
      <c r="J1274" s="4"/>
      <c r="K1274" s="4"/>
      <c r="L1274" s="4"/>
      <c r="M1274" s="4"/>
      <c r="N1274" s="4"/>
      <c r="O1274" s="4"/>
      <c r="P1274" s="4"/>
      <c r="Q1274" s="4"/>
    </row>
    <row r="1275">
      <c r="A1275" s="5">
        <v>1274.0</v>
      </c>
      <c r="B1275" s="5" t="s">
        <v>1664</v>
      </c>
      <c r="C1275" s="5" t="s">
        <v>1452</v>
      </c>
      <c r="D1275" s="6">
        <f>IFERROR(__xludf.DUMMYFUNCTION("SPLIT(MID(C1275,2,LEN(C1275)-2), "","")"),2550.0)</f>
        <v>2550</v>
      </c>
      <c r="E1275" s="7"/>
      <c r="F1275" s="7"/>
      <c r="G1275" s="2" t="str">
        <f t="array" ref="G1275">IF(ISBLANK(D1275), "", INDEX(Categories!$B:$B,MATCH(D1275,Categories!$A:$A,0)))</f>
        <v>Duct Cleaning</v>
      </c>
      <c r="H1275" s="7" t="str">
        <f t="array" ref="H1275">IF(ISBLANK(E1275), "", INDEX(Categories!$B:$B,MATCH(E1275,Categories!$A:$A,0)))</f>
        <v/>
      </c>
      <c r="I1275" s="7" t="str">
        <f t="array" ref="I1275">IF(ISBLANK(F1275), "", INDEX(Categories!$B:$B,MATCH(F1275,Categories!$A:$A,0)))</f>
        <v/>
      </c>
      <c r="J1275" s="4"/>
      <c r="K1275" s="4"/>
      <c r="L1275" s="4"/>
      <c r="M1275" s="4"/>
      <c r="N1275" s="4"/>
      <c r="O1275" s="4"/>
      <c r="P1275" s="4"/>
      <c r="Q1275" s="4"/>
    </row>
    <row r="1276">
      <c r="A1276" s="5">
        <v>1275.0</v>
      </c>
      <c r="B1276" s="5" t="s">
        <v>1665</v>
      </c>
      <c r="C1276" s="5" t="s">
        <v>309</v>
      </c>
      <c r="D1276" s="6">
        <f>IFERROR(__xludf.DUMMYFUNCTION("SPLIT(MID(C1276,2,LEN(C1276)-2), "","")"),458.0)</f>
        <v>458</v>
      </c>
      <c r="E1276" s="7"/>
      <c r="F1276" s="7"/>
      <c r="G1276" s="2" t="str">
        <f t="array" ref="G1276">IF(ISBLANK(D1276), "", INDEX(Categories!$B:$B,MATCH(D1276,Categories!$A:$A,0)))</f>
        <v>Real Estate - Brokers &amp; Agents</v>
      </c>
      <c r="H1276" s="7" t="str">
        <f t="array" ref="H1276">IF(ISBLANK(E1276), "", INDEX(Categories!$B:$B,MATCH(E1276,Categories!$A:$A,0)))</f>
        <v/>
      </c>
      <c r="I1276" s="7" t="str">
        <f t="array" ref="I1276">IF(ISBLANK(F1276), "", INDEX(Categories!$B:$B,MATCH(F1276,Categories!$A:$A,0)))</f>
        <v/>
      </c>
      <c r="J1276" s="4"/>
      <c r="K1276" s="4"/>
      <c r="L1276" s="4"/>
      <c r="M1276" s="4"/>
      <c r="N1276" s="4"/>
      <c r="O1276" s="4"/>
      <c r="P1276" s="4"/>
      <c r="Q1276" s="4"/>
    </row>
    <row r="1277">
      <c r="A1277" s="5">
        <v>1276.0</v>
      </c>
      <c r="B1277" s="5" t="s">
        <v>1666</v>
      </c>
      <c r="C1277" s="5" t="s">
        <v>12</v>
      </c>
      <c r="D1277" s="6">
        <f>IFERROR(__xludf.DUMMYFUNCTION("SPLIT(MID(C1277,2,LEN(C1277)-2), "","")"),469.0)</f>
        <v>469</v>
      </c>
      <c r="E1277" s="7"/>
      <c r="F1277" s="7"/>
      <c r="G1277" s="2" t="str">
        <f t="array" ref="G1277">IF(ISBLANK(D1277), "", INDEX(Categories!$B:$B,MATCH(D1277,Categories!$A:$A,0)))</f>
        <v>Automobile - Repairs &amp; Services</v>
      </c>
      <c r="H1277" s="7" t="str">
        <f t="array" ref="H1277">IF(ISBLANK(E1277), "", INDEX(Categories!$B:$B,MATCH(E1277,Categories!$A:$A,0)))</f>
        <v/>
      </c>
      <c r="I1277" s="7" t="str">
        <f t="array" ref="I1277">IF(ISBLANK(F1277), "", INDEX(Categories!$B:$B,MATCH(F1277,Categories!$A:$A,0)))</f>
        <v/>
      </c>
      <c r="J1277" s="4"/>
      <c r="K1277" s="4"/>
      <c r="L1277" s="4"/>
      <c r="M1277" s="4"/>
      <c r="N1277" s="4"/>
      <c r="O1277" s="4"/>
      <c r="P1277" s="4"/>
      <c r="Q1277" s="4"/>
    </row>
    <row r="1278">
      <c r="A1278" s="5">
        <v>1277.0</v>
      </c>
      <c r="B1278" s="5" t="s">
        <v>1667</v>
      </c>
      <c r="C1278" s="5" t="s">
        <v>170</v>
      </c>
      <c r="D1278" s="6">
        <f>IFERROR(__xludf.DUMMYFUNCTION("SPLIT(MID(C1278,2,LEN(C1278)-2), "","")"),189.0)</f>
        <v>189</v>
      </c>
      <c r="E1278" s="7"/>
      <c r="F1278" s="7"/>
      <c r="G1278" s="2" t="str">
        <f t="array" ref="G1278">IF(ISBLANK(D1278), "", INDEX(Categories!$B:$B,MATCH(D1278,Categories!$A:$A,0)))</f>
        <v>Pharmacies</v>
      </c>
      <c r="H1278" s="7" t="str">
        <f t="array" ref="H1278">IF(ISBLANK(E1278), "", INDEX(Categories!$B:$B,MATCH(E1278,Categories!$A:$A,0)))</f>
        <v/>
      </c>
      <c r="I1278" s="7" t="str">
        <f t="array" ref="I1278">IF(ISBLANK(F1278), "", INDEX(Categories!$B:$B,MATCH(F1278,Categories!$A:$A,0)))</f>
        <v/>
      </c>
      <c r="J1278" s="4"/>
      <c r="K1278" s="4"/>
      <c r="L1278" s="4"/>
      <c r="M1278" s="4"/>
      <c r="N1278" s="4"/>
      <c r="O1278" s="4"/>
      <c r="P1278" s="4"/>
      <c r="Q1278" s="4"/>
    </row>
    <row r="1279">
      <c r="A1279" s="5">
        <v>1278.0</v>
      </c>
      <c r="B1279" s="5" t="s">
        <v>1668</v>
      </c>
      <c r="C1279" s="5" t="s">
        <v>1530</v>
      </c>
      <c r="D1279" s="6">
        <f>IFERROR(__xludf.DUMMYFUNCTION("SPLIT(MID(C1279,2,LEN(C1279)-2), "","")"),239.0)</f>
        <v>239</v>
      </c>
      <c r="E1279" s="7"/>
      <c r="F1279" s="7"/>
      <c r="G1279" s="2" t="str">
        <f t="array" ref="G1279">IF(ISBLANK(D1279), "", INDEX(Categories!$B:$B,MATCH(D1279,Categories!$A:$A,0)))</f>
        <v>Restaurants Dining</v>
      </c>
      <c r="H1279" s="7" t="str">
        <f t="array" ref="H1279">IF(ISBLANK(E1279), "", INDEX(Categories!$B:$B,MATCH(E1279,Categories!$A:$A,0)))</f>
        <v/>
      </c>
      <c r="I1279" s="7" t="str">
        <f t="array" ref="I1279">IF(ISBLANK(F1279), "", INDEX(Categories!$B:$B,MATCH(F1279,Categories!$A:$A,0)))</f>
        <v/>
      </c>
      <c r="J1279" s="4"/>
      <c r="K1279" s="4"/>
      <c r="L1279" s="4"/>
      <c r="M1279" s="4"/>
      <c r="N1279" s="4"/>
      <c r="O1279" s="4"/>
      <c r="P1279" s="4"/>
      <c r="Q1279" s="4"/>
    </row>
    <row r="1280">
      <c r="A1280" s="5">
        <v>1279.0</v>
      </c>
      <c r="B1280" s="5" t="s">
        <v>1669</v>
      </c>
      <c r="C1280" s="5" t="s">
        <v>18</v>
      </c>
      <c r="D1280" s="6">
        <f>IFERROR(__xludf.DUMMYFUNCTION("SPLIT(MID(C1280,2,LEN(C1280)-2), "","")"),121.0)</f>
        <v>121</v>
      </c>
      <c r="E1280" s="7"/>
      <c r="F1280" s="7"/>
      <c r="G1280" s="2" t="str">
        <f t="array" ref="G1280">IF(ISBLANK(D1280), "", INDEX(Categories!$B:$B,MATCH(D1280,Categories!$A:$A,0)))</f>
        <v>Insurance</v>
      </c>
      <c r="H1280" s="7" t="str">
        <f t="array" ref="H1280">IF(ISBLANK(E1280), "", INDEX(Categories!$B:$B,MATCH(E1280,Categories!$A:$A,0)))</f>
        <v/>
      </c>
      <c r="I1280" s="7" t="str">
        <f t="array" ref="I1280">IF(ISBLANK(F1280), "", INDEX(Categories!$B:$B,MATCH(F1280,Categories!$A:$A,0)))</f>
        <v/>
      </c>
      <c r="J1280" s="4"/>
      <c r="K1280" s="4"/>
      <c r="L1280" s="4"/>
      <c r="M1280" s="4"/>
      <c r="N1280" s="4"/>
      <c r="O1280" s="4"/>
      <c r="P1280" s="4"/>
      <c r="Q1280" s="4"/>
    </row>
    <row r="1281">
      <c r="A1281" s="5">
        <v>1280.0</v>
      </c>
      <c r="B1281" s="5" t="s">
        <v>1670</v>
      </c>
      <c r="C1281" s="5" t="s">
        <v>1507</v>
      </c>
      <c r="D1281" s="6">
        <f>IFERROR(__xludf.DUMMYFUNCTION("SPLIT(MID(C1281,2,LEN(C1281)-2), "","")"),2528.0)</f>
        <v>2528</v>
      </c>
      <c r="E1281" s="7"/>
      <c r="F1281" s="7"/>
      <c r="G1281" s="2" t="str">
        <f t="array" ref="G1281">IF(ISBLANK(D1281), "", INDEX(Categories!$B:$B,MATCH(D1281,Categories!$A:$A,0)))</f>
        <v>Cleaning Services &amp; Supplies</v>
      </c>
      <c r="H1281" s="7" t="str">
        <f t="array" ref="H1281">IF(ISBLANK(E1281), "", INDEX(Categories!$B:$B,MATCH(E1281,Categories!$A:$A,0)))</f>
        <v/>
      </c>
      <c r="I1281" s="7" t="str">
        <f t="array" ref="I1281">IF(ISBLANK(F1281), "", INDEX(Categories!$B:$B,MATCH(F1281,Categories!$A:$A,0)))</f>
        <v/>
      </c>
      <c r="J1281" s="4"/>
      <c r="K1281" s="4"/>
      <c r="L1281" s="4"/>
      <c r="M1281" s="4"/>
      <c r="N1281" s="4"/>
      <c r="O1281" s="4"/>
      <c r="P1281" s="4"/>
      <c r="Q1281" s="4"/>
    </row>
    <row r="1282">
      <c r="A1282" s="5">
        <v>1281.0</v>
      </c>
      <c r="B1282" s="5" t="s">
        <v>1671</v>
      </c>
      <c r="C1282" s="5" t="s">
        <v>69</v>
      </c>
      <c r="D1282" s="6">
        <f>IFERROR(__xludf.DUMMYFUNCTION("SPLIT(MID(C1282,2,LEN(C1282)-2), "","")"),293.0)</f>
        <v>293</v>
      </c>
      <c r="E1282" s="7"/>
      <c r="F1282" s="7"/>
      <c r="G1282" s="2" t="str">
        <f t="array" ref="G1282">IF(ISBLANK(D1282), "", INDEX(Categories!$B:$B,MATCH(D1282,Categories!$A:$A,0)))</f>
        <v>Banks Commercial</v>
      </c>
      <c r="H1282" s="7" t="str">
        <f t="array" ref="H1282">IF(ISBLANK(E1282), "", INDEX(Categories!$B:$B,MATCH(E1282,Categories!$A:$A,0)))</f>
        <v/>
      </c>
      <c r="I1282" s="7" t="str">
        <f t="array" ref="I1282">IF(ISBLANK(F1282), "", INDEX(Categories!$B:$B,MATCH(F1282,Categories!$A:$A,0)))</f>
        <v/>
      </c>
      <c r="J1282" s="4"/>
      <c r="K1282" s="4"/>
      <c r="L1282" s="4"/>
      <c r="M1282" s="4"/>
      <c r="N1282" s="4"/>
      <c r="O1282" s="4"/>
      <c r="P1282" s="4"/>
      <c r="Q1282" s="4"/>
    </row>
    <row r="1283">
      <c r="A1283" s="5">
        <v>1282.0</v>
      </c>
      <c r="B1283" s="5" t="s">
        <v>1672</v>
      </c>
      <c r="C1283" s="5" t="s">
        <v>69</v>
      </c>
      <c r="D1283" s="6">
        <f>IFERROR(__xludf.DUMMYFUNCTION("SPLIT(MID(C1283,2,LEN(C1283)-2), "","")"),293.0)</f>
        <v>293</v>
      </c>
      <c r="E1283" s="7"/>
      <c r="F1283" s="7"/>
      <c r="G1283" s="2" t="str">
        <f t="array" ref="G1283">IF(ISBLANK(D1283), "", INDEX(Categories!$B:$B,MATCH(D1283,Categories!$A:$A,0)))</f>
        <v>Banks Commercial</v>
      </c>
      <c r="H1283" s="7" t="str">
        <f t="array" ref="H1283">IF(ISBLANK(E1283), "", INDEX(Categories!$B:$B,MATCH(E1283,Categories!$A:$A,0)))</f>
        <v/>
      </c>
      <c r="I1283" s="7" t="str">
        <f t="array" ref="I1283">IF(ISBLANK(F1283), "", INDEX(Categories!$B:$B,MATCH(F1283,Categories!$A:$A,0)))</f>
        <v/>
      </c>
      <c r="J1283" s="4"/>
      <c r="K1283" s="4"/>
      <c r="L1283" s="4"/>
      <c r="M1283" s="4"/>
      <c r="N1283" s="4"/>
      <c r="O1283" s="4"/>
      <c r="P1283" s="4"/>
      <c r="Q1283" s="4"/>
    </row>
    <row r="1284">
      <c r="A1284" s="5">
        <v>1283.0</v>
      </c>
      <c r="B1284" s="5" t="s">
        <v>1673</v>
      </c>
      <c r="C1284" s="5" t="s">
        <v>1674</v>
      </c>
      <c r="D1284" s="6">
        <f>IFERROR(__xludf.DUMMYFUNCTION("SPLIT(MID(C1284,2,LEN(C1284)-2), "","")"),2597.0)</f>
        <v>2597</v>
      </c>
      <c r="E1284" s="7"/>
      <c r="F1284" s="7"/>
      <c r="G1284" s="2" t="str">
        <f t="array" ref="G1284">IF(ISBLANK(D1284), "", INDEX(Categories!$B:$B,MATCH(D1284,Categories!$A:$A,0)))</f>
        <v>Exercise &amp; Physical Fitness Programs</v>
      </c>
      <c r="H1284" s="7" t="str">
        <f t="array" ref="H1284">IF(ISBLANK(E1284), "", INDEX(Categories!$B:$B,MATCH(E1284,Categories!$A:$A,0)))</f>
        <v/>
      </c>
      <c r="I1284" s="7" t="str">
        <f t="array" ref="I1284">IF(ISBLANK(F1284), "", INDEX(Categories!$B:$B,MATCH(F1284,Categories!$A:$A,0)))</f>
        <v/>
      </c>
      <c r="J1284" s="4"/>
      <c r="K1284" s="4"/>
      <c r="L1284" s="4"/>
      <c r="M1284" s="4"/>
      <c r="N1284" s="4"/>
      <c r="O1284" s="4"/>
      <c r="P1284" s="4"/>
      <c r="Q1284" s="4"/>
    </row>
    <row r="1285">
      <c r="A1285" s="5">
        <v>1284.0</v>
      </c>
      <c r="B1285" s="5" t="s">
        <v>1675</v>
      </c>
      <c r="C1285" s="5" t="s">
        <v>346</v>
      </c>
      <c r="D1285" s="6">
        <f>IFERROR(__xludf.DUMMYFUNCTION("SPLIT(MID(C1285,2,LEN(C1285)-2), "","")"),610.0)</f>
        <v>610</v>
      </c>
      <c r="E1285" s="7"/>
      <c r="F1285" s="7"/>
      <c r="G1285" s="2" t="str">
        <f t="array" ref="G1285">IF(ISBLANK(D1285), "", INDEX(Categories!$B:$B,MATCH(D1285,Categories!$A:$A,0)))</f>
        <v>Supermarkets &amp; Super Stores</v>
      </c>
      <c r="H1285" s="7" t="str">
        <f t="array" ref="H1285">IF(ISBLANK(E1285), "", INDEX(Categories!$B:$B,MATCH(E1285,Categories!$A:$A,0)))</f>
        <v/>
      </c>
      <c r="I1285" s="7" t="str">
        <f t="array" ref="I1285">IF(ISBLANK(F1285), "", INDEX(Categories!$B:$B,MATCH(F1285,Categories!$A:$A,0)))</f>
        <v/>
      </c>
      <c r="J1285" s="4"/>
      <c r="K1285" s="4"/>
      <c r="L1285" s="4"/>
      <c r="M1285" s="4"/>
      <c r="N1285" s="4"/>
      <c r="O1285" s="4"/>
      <c r="P1285" s="4"/>
      <c r="Q1285" s="4"/>
    </row>
    <row r="1286">
      <c r="A1286" s="5">
        <v>1285.0</v>
      </c>
      <c r="B1286" s="5" t="s">
        <v>1676</v>
      </c>
      <c r="C1286" s="5" t="s">
        <v>290</v>
      </c>
      <c r="D1286" s="6">
        <f>IFERROR(__xludf.DUMMYFUNCTION("SPLIT(MID(C1286,2,LEN(C1286)-2), "","")"),2035.0)</f>
        <v>2035</v>
      </c>
      <c r="E1286" s="7"/>
      <c r="F1286" s="7"/>
      <c r="G1286" s="2" t="str">
        <f t="array" ref="G1286">IF(ISBLANK(D1286), "", INDEX(Categories!$B:$B,MATCH(D1286,Categories!$A:$A,0)))</f>
        <v>Home Health Care Services</v>
      </c>
      <c r="H1286" s="7" t="str">
        <f t="array" ref="H1286">IF(ISBLANK(E1286), "", INDEX(Categories!$B:$B,MATCH(E1286,Categories!$A:$A,0)))</f>
        <v/>
      </c>
      <c r="I1286" s="7" t="str">
        <f t="array" ref="I1286">IF(ISBLANK(F1286), "", INDEX(Categories!$B:$B,MATCH(F1286,Categories!$A:$A,0)))</f>
        <v/>
      </c>
      <c r="J1286" s="4"/>
      <c r="K1286" s="4"/>
      <c r="L1286" s="4"/>
      <c r="M1286" s="4"/>
      <c r="N1286" s="4"/>
      <c r="O1286" s="4"/>
      <c r="P1286" s="4"/>
      <c r="Q1286" s="4"/>
    </row>
    <row r="1287">
      <c r="A1287" s="5">
        <v>1286.0</v>
      </c>
      <c r="B1287" s="5" t="s">
        <v>1677</v>
      </c>
      <c r="C1287" s="5" t="s">
        <v>69</v>
      </c>
      <c r="D1287" s="6">
        <f>IFERROR(__xludf.DUMMYFUNCTION("SPLIT(MID(C1287,2,LEN(C1287)-2), "","")"),293.0)</f>
        <v>293</v>
      </c>
      <c r="E1287" s="7"/>
      <c r="F1287" s="7"/>
      <c r="G1287" s="2" t="str">
        <f t="array" ref="G1287">IF(ISBLANK(D1287), "", INDEX(Categories!$B:$B,MATCH(D1287,Categories!$A:$A,0)))</f>
        <v>Banks Commercial</v>
      </c>
      <c r="H1287" s="7" t="str">
        <f t="array" ref="H1287">IF(ISBLANK(E1287), "", INDEX(Categories!$B:$B,MATCH(E1287,Categories!$A:$A,0)))</f>
        <v/>
      </c>
      <c r="I1287" s="7" t="str">
        <f t="array" ref="I1287">IF(ISBLANK(F1287), "", INDEX(Categories!$B:$B,MATCH(F1287,Categories!$A:$A,0)))</f>
        <v/>
      </c>
      <c r="J1287" s="4"/>
      <c r="K1287" s="4"/>
      <c r="L1287" s="4"/>
      <c r="M1287" s="4"/>
      <c r="N1287" s="4"/>
      <c r="O1287" s="4"/>
      <c r="P1287" s="4"/>
      <c r="Q1287" s="4"/>
    </row>
    <row r="1288">
      <c r="A1288" s="5">
        <v>1287.0</v>
      </c>
      <c r="B1288" s="5" t="s">
        <v>1678</v>
      </c>
      <c r="C1288" s="5" t="s">
        <v>1390</v>
      </c>
      <c r="D1288" s="6">
        <f>IFERROR(__xludf.DUMMYFUNCTION("SPLIT(MID(C1288,2,LEN(C1288)-2), "","")"),1064.0)</f>
        <v>1064</v>
      </c>
      <c r="E1288" s="7"/>
      <c r="F1288" s="7"/>
      <c r="G1288" s="2" t="str">
        <f t="array" ref="G1288">IF(ISBLANK(D1288), "", INDEX(Categories!$B:$B,MATCH(D1288,Categories!$A:$A,0)))</f>
        <v>Handyman Services</v>
      </c>
      <c r="H1288" s="7" t="str">
        <f t="array" ref="H1288">IF(ISBLANK(E1288), "", INDEX(Categories!$B:$B,MATCH(E1288,Categories!$A:$A,0)))</f>
        <v/>
      </c>
      <c r="I1288" s="7" t="str">
        <f t="array" ref="I1288">IF(ISBLANK(F1288), "", INDEX(Categories!$B:$B,MATCH(F1288,Categories!$A:$A,0)))</f>
        <v/>
      </c>
      <c r="J1288" s="4"/>
      <c r="K1288" s="4"/>
      <c r="L1288" s="4"/>
      <c r="M1288" s="4"/>
      <c r="N1288" s="4"/>
      <c r="O1288" s="4"/>
      <c r="P1288" s="4"/>
      <c r="Q1288" s="4"/>
    </row>
    <row r="1289">
      <c r="A1289" s="5">
        <v>1288.0</v>
      </c>
      <c r="B1289" s="5" t="s">
        <v>1679</v>
      </c>
      <c r="C1289" s="5" t="s">
        <v>756</v>
      </c>
      <c r="D1289" s="6">
        <f>IFERROR(__xludf.DUMMYFUNCTION("SPLIT(MID(C1289,2,LEN(C1289)-2), "","")"),721.0)</f>
        <v>721</v>
      </c>
      <c r="E1289" s="7"/>
      <c r="F1289" s="7"/>
      <c r="G1289" s="2" t="str">
        <f t="array" ref="G1289">IF(ISBLANK(D1289), "", INDEX(Categories!$B:$B,MATCH(D1289,Categories!$A:$A,0)))</f>
        <v>Computer Software &amp; Services</v>
      </c>
      <c r="H1289" s="7" t="str">
        <f t="array" ref="H1289">IF(ISBLANK(E1289), "", INDEX(Categories!$B:$B,MATCH(E1289,Categories!$A:$A,0)))</f>
        <v/>
      </c>
      <c r="I1289" s="7" t="str">
        <f t="array" ref="I1289">IF(ISBLANK(F1289), "", INDEX(Categories!$B:$B,MATCH(F1289,Categories!$A:$A,0)))</f>
        <v/>
      </c>
      <c r="J1289" s="4"/>
      <c r="K1289" s="4"/>
      <c r="L1289" s="4"/>
      <c r="M1289" s="4"/>
      <c r="N1289" s="4"/>
      <c r="O1289" s="4"/>
      <c r="P1289" s="4"/>
      <c r="Q1289" s="4"/>
    </row>
    <row r="1290">
      <c r="A1290" s="5">
        <v>1289.0</v>
      </c>
      <c r="B1290" s="5" t="s">
        <v>1680</v>
      </c>
      <c r="C1290" s="5" t="s">
        <v>170</v>
      </c>
      <c r="D1290" s="6">
        <f>IFERROR(__xludf.DUMMYFUNCTION("SPLIT(MID(C1290,2,LEN(C1290)-2), "","")"),189.0)</f>
        <v>189</v>
      </c>
      <c r="E1290" s="7"/>
      <c r="F1290" s="7"/>
      <c r="G1290" s="2" t="str">
        <f t="array" ref="G1290">IF(ISBLANK(D1290), "", INDEX(Categories!$B:$B,MATCH(D1290,Categories!$A:$A,0)))</f>
        <v>Pharmacies</v>
      </c>
      <c r="H1290" s="7" t="str">
        <f t="array" ref="H1290">IF(ISBLANK(E1290), "", INDEX(Categories!$B:$B,MATCH(E1290,Categories!$A:$A,0)))</f>
        <v/>
      </c>
      <c r="I1290" s="7" t="str">
        <f t="array" ref="I1290">IF(ISBLANK(F1290), "", INDEX(Categories!$B:$B,MATCH(F1290,Categories!$A:$A,0)))</f>
        <v/>
      </c>
      <c r="J1290" s="4"/>
      <c r="K1290" s="4"/>
      <c r="L1290" s="4"/>
      <c r="M1290" s="4"/>
      <c r="N1290" s="4"/>
      <c r="O1290" s="4"/>
      <c r="P1290" s="4"/>
      <c r="Q1290" s="4"/>
    </row>
    <row r="1291">
      <c r="A1291" s="5">
        <v>1290.0</v>
      </c>
      <c r="B1291" s="5" t="s">
        <v>1681</v>
      </c>
      <c r="C1291" s="5" t="s">
        <v>246</v>
      </c>
      <c r="D1291" s="6">
        <f>IFERROR(__xludf.DUMMYFUNCTION("SPLIT(MID(C1291,2,LEN(C1291)-2), "","")"),1587.0)</f>
        <v>1587</v>
      </c>
      <c r="E1291" s="7"/>
      <c r="F1291" s="7"/>
      <c r="G1291" s="2" t="str">
        <f t="array" ref="G1291">IF(ISBLANK(D1291), "", INDEX(Categories!$B:$B,MATCH(D1291,Categories!$A:$A,0)))</f>
        <v>Educational Services</v>
      </c>
      <c r="H1291" s="7" t="str">
        <f t="array" ref="H1291">IF(ISBLANK(E1291), "", INDEX(Categories!$B:$B,MATCH(E1291,Categories!$A:$A,0)))</f>
        <v/>
      </c>
      <c r="I1291" s="7" t="str">
        <f t="array" ref="I1291">IF(ISBLANK(F1291), "", INDEX(Categories!$B:$B,MATCH(F1291,Categories!$A:$A,0)))</f>
        <v/>
      </c>
      <c r="J1291" s="4"/>
      <c r="K1291" s="4"/>
      <c r="L1291" s="4"/>
      <c r="M1291" s="4"/>
      <c r="N1291" s="4"/>
      <c r="O1291" s="4"/>
      <c r="P1291" s="4"/>
      <c r="Q1291" s="4"/>
    </row>
    <row r="1292">
      <c r="A1292" s="5">
        <v>1291.0</v>
      </c>
      <c r="B1292" s="5" t="s">
        <v>1682</v>
      </c>
      <c r="C1292" s="5" t="s">
        <v>69</v>
      </c>
      <c r="D1292" s="6">
        <f>IFERROR(__xludf.DUMMYFUNCTION("SPLIT(MID(C1292,2,LEN(C1292)-2), "","")"),293.0)</f>
        <v>293</v>
      </c>
      <c r="E1292" s="7"/>
      <c r="F1292" s="7"/>
      <c r="G1292" s="2" t="str">
        <f t="array" ref="G1292">IF(ISBLANK(D1292), "", INDEX(Categories!$B:$B,MATCH(D1292,Categories!$A:$A,0)))</f>
        <v>Banks Commercial</v>
      </c>
      <c r="H1292" s="7" t="str">
        <f t="array" ref="H1292">IF(ISBLANK(E1292), "", INDEX(Categories!$B:$B,MATCH(E1292,Categories!$A:$A,0)))</f>
        <v/>
      </c>
      <c r="I1292" s="7" t="str">
        <f t="array" ref="I1292">IF(ISBLANK(F1292), "", INDEX(Categories!$B:$B,MATCH(F1292,Categories!$A:$A,0)))</f>
        <v/>
      </c>
      <c r="J1292" s="4"/>
      <c r="K1292" s="4"/>
      <c r="L1292" s="4"/>
      <c r="M1292" s="4"/>
      <c r="N1292" s="4"/>
      <c r="O1292" s="4"/>
      <c r="P1292" s="4"/>
      <c r="Q1292" s="4"/>
    </row>
    <row r="1293">
      <c r="A1293" s="5">
        <v>1292.0</v>
      </c>
      <c r="B1293" s="5" t="s">
        <v>1683</v>
      </c>
      <c r="C1293" s="5" t="s">
        <v>290</v>
      </c>
      <c r="D1293" s="6">
        <f>IFERROR(__xludf.DUMMYFUNCTION("SPLIT(MID(C1293,2,LEN(C1293)-2), "","")"),2035.0)</f>
        <v>2035</v>
      </c>
      <c r="E1293" s="7"/>
      <c r="F1293" s="7"/>
      <c r="G1293" s="2" t="str">
        <f t="array" ref="G1293">IF(ISBLANK(D1293), "", INDEX(Categories!$B:$B,MATCH(D1293,Categories!$A:$A,0)))</f>
        <v>Home Health Care Services</v>
      </c>
      <c r="H1293" s="7" t="str">
        <f t="array" ref="H1293">IF(ISBLANK(E1293), "", INDEX(Categories!$B:$B,MATCH(E1293,Categories!$A:$A,0)))</f>
        <v/>
      </c>
      <c r="I1293" s="7" t="str">
        <f t="array" ref="I1293">IF(ISBLANK(F1293), "", INDEX(Categories!$B:$B,MATCH(F1293,Categories!$A:$A,0)))</f>
        <v/>
      </c>
      <c r="J1293" s="4"/>
      <c r="K1293" s="4"/>
      <c r="L1293" s="4"/>
      <c r="M1293" s="4"/>
      <c r="N1293" s="4"/>
      <c r="O1293" s="4"/>
      <c r="P1293" s="4"/>
      <c r="Q1293" s="4"/>
    </row>
    <row r="1294">
      <c r="A1294" s="5">
        <v>1293.0</v>
      </c>
      <c r="B1294" s="5" t="s">
        <v>1684</v>
      </c>
      <c r="C1294" s="5" t="s">
        <v>34</v>
      </c>
      <c r="D1294" s="6">
        <f>IFERROR(__xludf.DUMMYFUNCTION("SPLIT(MID(C1294,2,LEN(C1294)-2), "","")"),228.0)</f>
        <v>228</v>
      </c>
      <c r="E1294" s="7"/>
      <c r="F1294" s="7"/>
      <c r="G1294" s="2" t="str">
        <f t="array" ref="G1294">IF(ISBLANK(D1294), "", INDEX(Categories!$B:$B,MATCH(D1294,Categories!$A:$A,0)))</f>
        <v>Restaurants</v>
      </c>
      <c r="H1294" s="7" t="str">
        <f t="array" ref="H1294">IF(ISBLANK(E1294), "", INDEX(Categories!$B:$B,MATCH(E1294,Categories!$A:$A,0)))</f>
        <v/>
      </c>
      <c r="I1294" s="7" t="str">
        <f t="array" ref="I1294">IF(ISBLANK(F1294), "", INDEX(Categories!$B:$B,MATCH(F1294,Categories!$A:$A,0)))</f>
        <v/>
      </c>
      <c r="J1294" s="4"/>
      <c r="K1294" s="4"/>
      <c r="L1294" s="4"/>
      <c r="M1294" s="4"/>
      <c r="N1294" s="4"/>
      <c r="O1294" s="4"/>
      <c r="P1294" s="4"/>
      <c r="Q1294" s="4"/>
    </row>
    <row r="1295">
      <c r="A1295" s="5">
        <v>1294.0</v>
      </c>
      <c r="B1295" s="5" t="s">
        <v>1685</v>
      </c>
      <c r="C1295" s="5" t="s">
        <v>1686</v>
      </c>
      <c r="D1295" s="6">
        <f>IFERROR(__xludf.DUMMYFUNCTION("SPLIT(MID(C1295,2,LEN(C1295)-2), "","")"),2731.0)</f>
        <v>2731</v>
      </c>
      <c r="E1295" s="7"/>
      <c r="F1295" s="7"/>
      <c r="G1295" s="2" t="str">
        <f t="array" ref="G1295">IF(ISBLANK(D1295), "", INDEX(Categories!$B:$B,MATCH(D1295,Categories!$A:$A,0)))</f>
        <v>Remodeling &amp; Repairing Building Contractors</v>
      </c>
      <c r="H1295" s="7" t="str">
        <f t="array" ref="H1295">IF(ISBLANK(E1295), "", INDEX(Categories!$B:$B,MATCH(E1295,Categories!$A:$A,0)))</f>
        <v/>
      </c>
      <c r="I1295" s="7" t="str">
        <f t="array" ref="I1295">IF(ISBLANK(F1295), "", INDEX(Categories!$B:$B,MATCH(F1295,Categories!$A:$A,0)))</f>
        <v/>
      </c>
      <c r="J1295" s="4"/>
      <c r="K1295" s="4"/>
      <c r="L1295" s="4"/>
      <c r="M1295" s="4"/>
      <c r="N1295" s="4"/>
      <c r="O1295" s="4"/>
      <c r="P1295" s="4"/>
      <c r="Q1295" s="4"/>
    </row>
    <row r="1296">
      <c r="A1296" s="5">
        <v>1295.0</v>
      </c>
      <c r="B1296" s="5" t="s">
        <v>1687</v>
      </c>
      <c r="C1296" s="5" t="s">
        <v>1688</v>
      </c>
      <c r="D1296" s="6">
        <f>IFERROR(__xludf.DUMMYFUNCTION("SPLIT(MID(C1296,2,LEN(C1296)-2), "","")"),1269.0)</f>
        <v>1269</v>
      </c>
      <c r="E1296" s="7"/>
      <c r="F1296" s="7"/>
      <c r="G1296" s="2" t="str">
        <f t="array" ref="G1296">IF(ISBLANK(D1296), "", INDEX(Categories!$B:$B,MATCH(D1296,Categories!$A:$A,0)))</f>
        <v>T Shirts &amp; Sweatshirts</v>
      </c>
      <c r="H1296" s="7" t="str">
        <f t="array" ref="H1296">IF(ISBLANK(E1296), "", INDEX(Categories!$B:$B,MATCH(E1296,Categories!$A:$A,0)))</f>
        <v/>
      </c>
      <c r="I1296" s="7" t="str">
        <f t="array" ref="I1296">IF(ISBLANK(F1296), "", INDEX(Categories!$B:$B,MATCH(F1296,Categories!$A:$A,0)))</f>
        <v/>
      </c>
      <c r="J1296" s="4"/>
      <c r="K1296" s="4"/>
      <c r="L1296" s="4"/>
      <c r="M1296" s="4"/>
      <c r="N1296" s="4"/>
      <c r="O1296" s="4"/>
      <c r="P1296" s="4"/>
      <c r="Q1296" s="4"/>
    </row>
    <row r="1297">
      <c r="A1297" s="5">
        <v>1296.0</v>
      </c>
      <c r="B1297" s="5" t="s">
        <v>1689</v>
      </c>
      <c r="C1297" s="5" t="s">
        <v>43</v>
      </c>
      <c r="D1297" s="6">
        <f>IFERROR(__xludf.DUMMYFUNCTION("SPLIT(MID(C1297,2,LEN(C1297)-2), "","")"),292.0)</f>
        <v>292</v>
      </c>
      <c r="E1297" s="7"/>
      <c r="F1297" s="7"/>
      <c r="G1297" s="2" t="str">
        <f t="array" ref="G1297">IF(ISBLANK(D1297), "", INDEX(Categories!$B:$B,MATCH(D1297,Categories!$A:$A,0)))</f>
        <v>Banks</v>
      </c>
      <c r="H1297" s="7" t="str">
        <f t="array" ref="H1297">IF(ISBLANK(E1297), "", INDEX(Categories!$B:$B,MATCH(E1297,Categories!$A:$A,0)))</f>
        <v/>
      </c>
      <c r="I1297" s="7" t="str">
        <f t="array" ref="I1297">IF(ISBLANK(F1297), "", INDEX(Categories!$B:$B,MATCH(F1297,Categories!$A:$A,0)))</f>
        <v/>
      </c>
      <c r="J1297" s="4"/>
      <c r="K1297" s="4"/>
      <c r="L1297" s="4"/>
      <c r="M1297" s="4"/>
      <c r="N1297" s="4"/>
      <c r="O1297" s="4"/>
      <c r="P1297" s="4"/>
      <c r="Q1297" s="4"/>
    </row>
    <row r="1298">
      <c r="A1298" s="5">
        <v>1297.0</v>
      </c>
      <c r="B1298" s="5" t="s">
        <v>1690</v>
      </c>
      <c r="C1298" s="5" t="s">
        <v>309</v>
      </c>
      <c r="D1298" s="6">
        <f>IFERROR(__xludf.DUMMYFUNCTION("SPLIT(MID(C1298,2,LEN(C1298)-2), "","")"),458.0)</f>
        <v>458</v>
      </c>
      <c r="E1298" s="7"/>
      <c r="F1298" s="7"/>
      <c r="G1298" s="2" t="str">
        <f t="array" ref="G1298">IF(ISBLANK(D1298), "", INDEX(Categories!$B:$B,MATCH(D1298,Categories!$A:$A,0)))</f>
        <v>Real Estate - Brokers &amp; Agents</v>
      </c>
      <c r="H1298" s="7" t="str">
        <f t="array" ref="H1298">IF(ISBLANK(E1298), "", INDEX(Categories!$B:$B,MATCH(E1298,Categories!$A:$A,0)))</f>
        <v/>
      </c>
      <c r="I1298" s="7" t="str">
        <f t="array" ref="I1298">IF(ISBLANK(F1298), "", INDEX(Categories!$B:$B,MATCH(F1298,Categories!$A:$A,0)))</f>
        <v/>
      </c>
      <c r="J1298" s="4"/>
      <c r="K1298" s="4"/>
      <c r="L1298" s="4"/>
      <c r="M1298" s="4"/>
      <c r="N1298" s="4"/>
      <c r="O1298" s="4"/>
      <c r="P1298" s="4"/>
      <c r="Q1298" s="4"/>
    </row>
    <row r="1299">
      <c r="A1299" s="5">
        <v>1298.0</v>
      </c>
      <c r="B1299" s="5" t="s">
        <v>1691</v>
      </c>
      <c r="C1299" s="5" t="s">
        <v>1138</v>
      </c>
      <c r="D1299" s="6">
        <f>IFERROR(__xludf.DUMMYFUNCTION("SPLIT(MID(C1299,2,LEN(C1299)-2), "","")"),116.0)</f>
        <v>116</v>
      </c>
      <c r="E1299" s="7"/>
      <c r="F1299" s="7"/>
      <c r="G1299" s="2" t="str">
        <f t="array" ref="G1299">IF(ISBLANK(D1299), "", INDEX(Categories!$B:$B,MATCH(D1299,Categories!$A:$A,0)))</f>
        <v>Florists</v>
      </c>
      <c r="H1299" s="7" t="str">
        <f t="array" ref="H1299">IF(ISBLANK(E1299), "", INDEX(Categories!$B:$B,MATCH(E1299,Categories!$A:$A,0)))</f>
        <v/>
      </c>
      <c r="I1299" s="7" t="str">
        <f t="array" ref="I1299">IF(ISBLANK(F1299), "", INDEX(Categories!$B:$B,MATCH(F1299,Categories!$A:$A,0)))</f>
        <v/>
      </c>
      <c r="J1299" s="4"/>
      <c r="K1299" s="4"/>
      <c r="L1299" s="4"/>
      <c r="M1299" s="4"/>
      <c r="N1299" s="4"/>
      <c r="O1299" s="4"/>
      <c r="P1299" s="4"/>
      <c r="Q1299" s="4"/>
    </row>
    <row r="1300">
      <c r="A1300" s="5">
        <v>1299.0</v>
      </c>
      <c r="B1300" s="5" t="s">
        <v>1692</v>
      </c>
      <c r="C1300" s="5" t="s">
        <v>170</v>
      </c>
      <c r="D1300" s="6">
        <f>IFERROR(__xludf.DUMMYFUNCTION("SPLIT(MID(C1300,2,LEN(C1300)-2), "","")"),189.0)</f>
        <v>189</v>
      </c>
      <c r="E1300" s="7"/>
      <c r="F1300" s="7"/>
      <c r="G1300" s="2" t="str">
        <f t="array" ref="G1300">IF(ISBLANK(D1300), "", INDEX(Categories!$B:$B,MATCH(D1300,Categories!$A:$A,0)))</f>
        <v>Pharmacies</v>
      </c>
      <c r="H1300" s="7" t="str">
        <f t="array" ref="H1300">IF(ISBLANK(E1300), "", INDEX(Categories!$B:$B,MATCH(E1300,Categories!$A:$A,0)))</f>
        <v/>
      </c>
      <c r="I1300" s="7" t="str">
        <f t="array" ref="I1300">IF(ISBLANK(F1300), "", INDEX(Categories!$B:$B,MATCH(F1300,Categories!$A:$A,0)))</f>
        <v/>
      </c>
      <c r="J1300" s="4"/>
      <c r="K1300" s="4"/>
      <c r="L1300" s="4"/>
      <c r="M1300" s="4"/>
      <c r="N1300" s="4"/>
      <c r="O1300" s="4"/>
      <c r="P1300" s="4"/>
      <c r="Q1300" s="4"/>
    </row>
    <row r="1301">
      <c r="A1301" s="5">
        <v>1300.0</v>
      </c>
      <c r="B1301" s="5" t="s">
        <v>1693</v>
      </c>
      <c r="C1301" s="5" t="s">
        <v>626</v>
      </c>
      <c r="D1301" s="6">
        <f>IFERROR(__xludf.DUMMYFUNCTION("SPLIT(MID(C1301,2,LEN(C1301)-2), "","")"),1247.0)</f>
        <v>1247</v>
      </c>
      <c r="E1301" s="7"/>
      <c r="F1301" s="7"/>
      <c r="G1301" s="2" t="str">
        <f t="array" ref="G1301">IF(ISBLANK(D1301), "", INDEX(Categories!$B:$B,MATCH(D1301,Categories!$A:$A,0)))</f>
        <v>Clothing Children &amp; Infant</v>
      </c>
      <c r="H1301" s="7" t="str">
        <f t="array" ref="H1301">IF(ISBLANK(E1301), "", INDEX(Categories!$B:$B,MATCH(E1301,Categories!$A:$A,0)))</f>
        <v/>
      </c>
      <c r="I1301" s="7" t="str">
        <f t="array" ref="I1301">IF(ISBLANK(F1301), "", INDEX(Categories!$B:$B,MATCH(F1301,Categories!$A:$A,0)))</f>
        <v/>
      </c>
      <c r="J1301" s="4"/>
      <c r="K1301" s="4"/>
      <c r="L1301" s="4"/>
      <c r="M1301" s="4"/>
      <c r="N1301" s="4"/>
      <c r="O1301" s="4"/>
      <c r="P1301" s="4"/>
      <c r="Q1301" s="4"/>
    </row>
    <row r="1302">
      <c r="A1302" s="5">
        <v>1301.0</v>
      </c>
      <c r="B1302" s="5" t="s">
        <v>1694</v>
      </c>
      <c r="C1302" s="5" t="s">
        <v>1536</v>
      </c>
      <c r="D1302" s="6">
        <f>IFERROR(__xludf.DUMMYFUNCTION("SPLIT(MID(C1302,2,LEN(C1302)-2), "","")"),1106.0)</f>
        <v>1106</v>
      </c>
      <c r="E1302" s="7"/>
      <c r="F1302" s="7"/>
      <c r="G1302" s="2" t="str">
        <f t="array" ref="G1302">IF(ISBLANK(D1302), "", INDEX(Categories!$B:$B,MATCH(D1302,Categories!$A:$A,0)))</f>
        <v>Airline Ticket Agencies</v>
      </c>
      <c r="H1302" s="7" t="str">
        <f t="array" ref="H1302">IF(ISBLANK(E1302), "", INDEX(Categories!$B:$B,MATCH(E1302,Categories!$A:$A,0)))</f>
        <v/>
      </c>
      <c r="I1302" s="7" t="str">
        <f t="array" ref="I1302">IF(ISBLANK(F1302), "", INDEX(Categories!$B:$B,MATCH(F1302,Categories!$A:$A,0)))</f>
        <v/>
      </c>
      <c r="J1302" s="4"/>
      <c r="K1302" s="4"/>
      <c r="L1302" s="4"/>
      <c r="M1302" s="4"/>
      <c r="N1302" s="4"/>
      <c r="O1302" s="4"/>
      <c r="P1302" s="4"/>
      <c r="Q1302" s="4"/>
    </row>
    <row r="1303">
      <c r="A1303" s="5">
        <v>1302.0</v>
      </c>
      <c r="B1303" s="5" t="s">
        <v>1695</v>
      </c>
      <c r="C1303" s="5" t="s">
        <v>826</v>
      </c>
      <c r="D1303" s="6">
        <f>IFERROR(__xludf.DUMMYFUNCTION("SPLIT(MID(C1303,2,LEN(C1303)-2), "","")"),2316.0)</f>
        <v>2316</v>
      </c>
      <c r="E1303" s="7"/>
      <c r="F1303" s="7"/>
      <c r="G1303" s="2" t="str">
        <f t="array" ref="G1303">IF(ISBLANK(D1303), "", INDEX(Categories!$B:$B,MATCH(D1303,Categories!$A:$A,0)))</f>
        <v>Lawn &amp; Grounds Maintenance</v>
      </c>
      <c r="H1303" s="7" t="str">
        <f t="array" ref="H1303">IF(ISBLANK(E1303), "", INDEX(Categories!$B:$B,MATCH(E1303,Categories!$A:$A,0)))</f>
        <v/>
      </c>
      <c r="I1303" s="7" t="str">
        <f t="array" ref="I1303">IF(ISBLANK(F1303), "", INDEX(Categories!$B:$B,MATCH(F1303,Categories!$A:$A,0)))</f>
        <v/>
      </c>
      <c r="J1303" s="4"/>
      <c r="K1303" s="4"/>
      <c r="L1303" s="4"/>
      <c r="M1303" s="4"/>
      <c r="N1303" s="4"/>
      <c r="O1303" s="4"/>
      <c r="P1303" s="4"/>
      <c r="Q1303" s="4"/>
    </row>
    <row r="1304">
      <c r="A1304" s="5">
        <v>1303.0</v>
      </c>
      <c r="B1304" s="5" t="s">
        <v>1696</v>
      </c>
      <c r="C1304" s="5" t="s">
        <v>34</v>
      </c>
      <c r="D1304" s="6">
        <f>IFERROR(__xludf.DUMMYFUNCTION("SPLIT(MID(C1304,2,LEN(C1304)-2), "","")"),228.0)</f>
        <v>228</v>
      </c>
      <c r="E1304" s="7"/>
      <c r="F1304" s="7"/>
      <c r="G1304" s="2" t="str">
        <f t="array" ref="G1304">IF(ISBLANK(D1304), "", INDEX(Categories!$B:$B,MATCH(D1304,Categories!$A:$A,0)))</f>
        <v>Restaurants</v>
      </c>
      <c r="H1304" s="7" t="str">
        <f t="array" ref="H1304">IF(ISBLANK(E1304), "", INDEX(Categories!$B:$B,MATCH(E1304,Categories!$A:$A,0)))</f>
        <v/>
      </c>
      <c r="I1304" s="7" t="str">
        <f t="array" ref="I1304">IF(ISBLANK(F1304), "", INDEX(Categories!$B:$B,MATCH(F1304,Categories!$A:$A,0)))</f>
        <v/>
      </c>
      <c r="J1304" s="4"/>
      <c r="K1304" s="4"/>
      <c r="L1304" s="4"/>
      <c r="M1304" s="4"/>
      <c r="N1304" s="4"/>
      <c r="O1304" s="4"/>
      <c r="P1304" s="4"/>
      <c r="Q1304" s="4"/>
    </row>
    <row r="1305">
      <c r="A1305" s="5">
        <v>1304.0</v>
      </c>
      <c r="B1305" s="5" t="s">
        <v>1697</v>
      </c>
      <c r="C1305" s="5" t="s">
        <v>1364</v>
      </c>
      <c r="D1305" s="6">
        <f>IFERROR(__xludf.DUMMYFUNCTION("SPLIT(MID(C1305,2,LEN(C1305)-2), "","")"),2543.0)</f>
        <v>2543</v>
      </c>
      <c r="E1305" s="7"/>
      <c r="F1305" s="7"/>
      <c r="G1305" s="2" t="str">
        <f t="array" ref="G1305">IF(ISBLANK(D1305), "", INDEX(Categories!$B:$B,MATCH(D1305,Categories!$A:$A,0)))</f>
        <v>Cleaning House &amp; Office</v>
      </c>
      <c r="H1305" s="7" t="str">
        <f t="array" ref="H1305">IF(ISBLANK(E1305), "", INDEX(Categories!$B:$B,MATCH(E1305,Categories!$A:$A,0)))</f>
        <v/>
      </c>
      <c r="I1305" s="7" t="str">
        <f t="array" ref="I1305">IF(ISBLANK(F1305), "", INDEX(Categories!$B:$B,MATCH(F1305,Categories!$A:$A,0)))</f>
        <v/>
      </c>
      <c r="J1305" s="4"/>
      <c r="K1305" s="4"/>
      <c r="L1305" s="4"/>
      <c r="M1305" s="4"/>
      <c r="N1305" s="4"/>
      <c r="O1305" s="4"/>
      <c r="P1305" s="4"/>
      <c r="Q1305" s="4"/>
    </row>
    <row r="1306">
      <c r="A1306" s="5">
        <v>1305.0</v>
      </c>
      <c r="B1306" s="5" t="s">
        <v>1698</v>
      </c>
      <c r="C1306" s="5" t="s">
        <v>1364</v>
      </c>
      <c r="D1306" s="6">
        <f>IFERROR(__xludf.DUMMYFUNCTION("SPLIT(MID(C1306,2,LEN(C1306)-2), "","")"),2543.0)</f>
        <v>2543</v>
      </c>
      <c r="E1306" s="7"/>
      <c r="F1306" s="7"/>
      <c r="G1306" s="2" t="str">
        <f t="array" ref="G1306">IF(ISBLANK(D1306), "", INDEX(Categories!$B:$B,MATCH(D1306,Categories!$A:$A,0)))</f>
        <v>Cleaning House &amp; Office</v>
      </c>
      <c r="H1306" s="7" t="str">
        <f t="array" ref="H1306">IF(ISBLANK(E1306), "", INDEX(Categories!$B:$B,MATCH(E1306,Categories!$A:$A,0)))</f>
        <v/>
      </c>
      <c r="I1306" s="7" t="str">
        <f t="array" ref="I1306">IF(ISBLANK(F1306), "", INDEX(Categories!$B:$B,MATCH(F1306,Categories!$A:$A,0)))</f>
        <v/>
      </c>
      <c r="J1306" s="4"/>
      <c r="K1306" s="4"/>
      <c r="L1306" s="4"/>
      <c r="M1306" s="4"/>
      <c r="N1306" s="4"/>
      <c r="O1306" s="4"/>
      <c r="P1306" s="4"/>
      <c r="Q1306" s="4"/>
    </row>
    <row r="1307">
      <c r="A1307" s="5">
        <v>1306.0</v>
      </c>
      <c r="B1307" s="5" t="s">
        <v>1699</v>
      </c>
      <c r="C1307" s="5" t="s">
        <v>62</v>
      </c>
      <c r="D1307" s="6">
        <f>IFERROR(__xludf.DUMMYFUNCTION("SPLIT(MID(C1307,2,LEN(C1307)-2), "","")"),242.0)</f>
        <v>242</v>
      </c>
      <c r="E1307" s="7"/>
      <c r="F1307" s="7"/>
      <c r="G1307" s="2" t="str">
        <f t="array" ref="G1307">IF(ISBLANK(D1307), "", INDEX(Categories!$B:$B,MATCH(D1307,Categories!$A:$A,0)))</f>
        <v>Restaurants Pizza</v>
      </c>
      <c r="H1307" s="7" t="str">
        <f t="array" ref="H1307">IF(ISBLANK(E1307), "", INDEX(Categories!$B:$B,MATCH(E1307,Categories!$A:$A,0)))</f>
        <v/>
      </c>
      <c r="I1307" s="7" t="str">
        <f t="array" ref="I1307">IF(ISBLANK(F1307), "", INDEX(Categories!$B:$B,MATCH(F1307,Categories!$A:$A,0)))</f>
        <v/>
      </c>
      <c r="J1307" s="4"/>
      <c r="K1307" s="4"/>
      <c r="L1307" s="4"/>
      <c r="M1307" s="4"/>
      <c r="N1307" s="4"/>
      <c r="O1307" s="4"/>
      <c r="P1307" s="4"/>
      <c r="Q1307" s="4"/>
    </row>
    <row r="1308">
      <c r="A1308" s="5">
        <v>1307.0</v>
      </c>
      <c r="B1308" s="5" t="s">
        <v>1700</v>
      </c>
      <c r="C1308" s="5" t="s">
        <v>309</v>
      </c>
      <c r="D1308" s="6">
        <f>IFERROR(__xludf.DUMMYFUNCTION("SPLIT(MID(C1308,2,LEN(C1308)-2), "","")"),458.0)</f>
        <v>458</v>
      </c>
      <c r="E1308" s="7"/>
      <c r="F1308" s="7"/>
      <c r="G1308" s="2" t="str">
        <f t="array" ref="G1308">IF(ISBLANK(D1308), "", INDEX(Categories!$B:$B,MATCH(D1308,Categories!$A:$A,0)))</f>
        <v>Real Estate - Brokers &amp; Agents</v>
      </c>
      <c r="H1308" s="7" t="str">
        <f t="array" ref="H1308">IF(ISBLANK(E1308), "", INDEX(Categories!$B:$B,MATCH(E1308,Categories!$A:$A,0)))</f>
        <v/>
      </c>
      <c r="I1308" s="7" t="str">
        <f t="array" ref="I1308">IF(ISBLANK(F1308), "", INDEX(Categories!$B:$B,MATCH(F1308,Categories!$A:$A,0)))</f>
        <v/>
      </c>
      <c r="J1308" s="4"/>
      <c r="K1308" s="4"/>
      <c r="L1308" s="4"/>
      <c r="M1308" s="4"/>
      <c r="N1308" s="4"/>
      <c r="O1308" s="4"/>
      <c r="P1308" s="4"/>
      <c r="Q1308" s="4"/>
    </row>
    <row r="1309">
      <c r="A1309" s="5">
        <v>1308.0</v>
      </c>
      <c r="B1309" s="5" t="s">
        <v>1701</v>
      </c>
      <c r="C1309" s="5" t="s">
        <v>1200</v>
      </c>
      <c r="D1309" s="6">
        <f>IFERROR(__xludf.DUMMYFUNCTION("SPLIT(MID(C1309,2,LEN(C1309)-2), "","")"),299.0)</f>
        <v>299</v>
      </c>
      <c r="E1309" s="7"/>
      <c r="F1309" s="7"/>
      <c r="G1309" s="2" t="str">
        <f t="array" ref="G1309">IF(ISBLANK(D1309), "", INDEX(Categories!$B:$B,MATCH(D1309,Categories!$A:$A,0)))</f>
        <v>Automated Teller Machine (atm)</v>
      </c>
      <c r="H1309" s="7" t="str">
        <f t="array" ref="H1309">IF(ISBLANK(E1309), "", INDEX(Categories!$B:$B,MATCH(E1309,Categories!$A:$A,0)))</f>
        <v/>
      </c>
      <c r="I1309" s="7" t="str">
        <f t="array" ref="I1309">IF(ISBLANK(F1309), "", INDEX(Categories!$B:$B,MATCH(F1309,Categories!$A:$A,0)))</f>
        <v/>
      </c>
      <c r="J1309" s="4"/>
      <c r="K1309" s="4"/>
      <c r="L1309" s="4"/>
      <c r="M1309" s="4"/>
      <c r="N1309" s="4"/>
      <c r="O1309" s="4"/>
      <c r="P1309" s="4"/>
      <c r="Q1309" s="4"/>
    </row>
    <row r="1310">
      <c r="A1310" s="5">
        <v>1309.0</v>
      </c>
      <c r="B1310" s="5" t="s">
        <v>1702</v>
      </c>
      <c r="C1310" s="5" t="s">
        <v>307</v>
      </c>
      <c r="D1310" s="6">
        <f>IFERROR(__xludf.DUMMYFUNCTION("SPLIT(MID(C1310,2,LEN(C1310)-2), "","")"),241.0)</f>
        <v>241</v>
      </c>
      <c r="E1310" s="7"/>
      <c r="F1310" s="7"/>
      <c r="G1310" s="2" t="str">
        <f t="array" ref="G1310">IF(ISBLANK(D1310), "", INDEX(Categories!$B:$B,MATCH(D1310,Categories!$A:$A,0)))</f>
        <v>Restaurants Mexican</v>
      </c>
      <c r="H1310" s="7" t="str">
        <f t="array" ref="H1310">IF(ISBLANK(E1310), "", INDEX(Categories!$B:$B,MATCH(E1310,Categories!$A:$A,0)))</f>
        <v/>
      </c>
      <c r="I1310" s="7" t="str">
        <f t="array" ref="I1310">IF(ISBLANK(F1310), "", INDEX(Categories!$B:$B,MATCH(F1310,Categories!$A:$A,0)))</f>
        <v/>
      </c>
      <c r="J1310" s="4"/>
      <c r="K1310" s="4"/>
      <c r="L1310" s="4"/>
      <c r="M1310" s="4"/>
      <c r="N1310" s="4"/>
      <c r="O1310" s="4"/>
      <c r="P1310" s="4"/>
      <c r="Q1310" s="4"/>
    </row>
    <row r="1311">
      <c r="A1311" s="5">
        <v>1310.0</v>
      </c>
      <c r="B1311" s="5" t="s">
        <v>1703</v>
      </c>
      <c r="C1311" s="5" t="s">
        <v>693</v>
      </c>
      <c r="D1311" s="6">
        <f>IFERROR(__xludf.DUMMYFUNCTION("SPLIT(MID(C1311,2,LEN(C1311)-2), "","")"),1184.0)</f>
        <v>1184</v>
      </c>
      <c r="E1311" s="7"/>
      <c r="F1311" s="7"/>
      <c r="G1311" s="2" t="str">
        <f t="array" ref="G1311">IF(ISBLANK(D1311), "", INDEX(Categories!$B:$B,MATCH(D1311,Categories!$A:$A,0)))</f>
        <v>Transportation Brokers &amp; Consultants</v>
      </c>
      <c r="H1311" s="7" t="str">
        <f t="array" ref="H1311">IF(ISBLANK(E1311), "", INDEX(Categories!$B:$B,MATCH(E1311,Categories!$A:$A,0)))</f>
        <v/>
      </c>
      <c r="I1311" s="7" t="str">
        <f t="array" ref="I1311">IF(ISBLANK(F1311), "", INDEX(Categories!$B:$B,MATCH(F1311,Categories!$A:$A,0)))</f>
        <v/>
      </c>
      <c r="J1311" s="4"/>
      <c r="K1311" s="4"/>
      <c r="L1311" s="4"/>
      <c r="M1311" s="4"/>
      <c r="N1311" s="4"/>
      <c r="O1311" s="4"/>
      <c r="P1311" s="4"/>
      <c r="Q1311" s="4"/>
    </row>
    <row r="1312">
      <c r="A1312" s="5">
        <v>1311.0</v>
      </c>
      <c r="B1312" s="5" t="s">
        <v>1704</v>
      </c>
      <c r="C1312" s="5" t="s">
        <v>346</v>
      </c>
      <c r="D1312" s="6">
        <f>IFERROR(__xludf.DUMMYFUNCTION("SPLIT(MID(C1312,2,LEN(C1312)-2), "","")"),610.0)</f>
        <v>610</v>
      </c>
      <c r="E1312" s="7"/>
      <c r="F1312" s="7"/>
      <c r="G1312" s="2" t="str">
        <f t="array" ref="G1312">IF(ISBLANK(D1312), "", INDEX(Categories!$B:$B,MATCH(D1312,Categories!$A:$A,0)))</f>
        <v>Supermarkets &amp; Super Stores</v>
      </c>
      <c r="H1312" s="7" t="str">
        <f t="array" ref="H1312">IF(ISBLANK(E1312), "", INDEX(Categories!$B:$B,MATCH(E1312,Categories!$A:$A,0)))</f>
        <v/>
      </c>
      <c r="I1312" s="7" t="str">
        <f t="array" ref="I1312">IF(ISBLANK(F1312), "", INDEX(Categories!$B:$B,MATCH(F1312,Categories!$A:$A,0)))</f>
        <v/>
      </c>
      <c r="J1312" s="4"/>
      <c r="K1312" s="4"/>
      <c r="L1312" s="4"/>
      <c r="M1312" s="4"/>
      <c r="N1312" s="4"/>
      <c r="O1312" s="4"/>
      <c r="P1312" s="4"/>
      <c r="Q1312" s="4"/>
    </row>
    <row r="1313">
      <c r="A1313" s="5">
        <v>1312.0</v>
      </c>
      <c r="B1313" s="5" t="s">
        <v>1705</v>
      </c>
      <c r="C1313" s="5" t="s">
        <v>96</v>
      </c>
      <c r="D1313" s="6">
        <f>IFERROR(__xludf.DUMMYFUNCTION("SPLIT(MID(C1313,2,LEN(C1313)-2), "","")"),572.0)</f>
        <v>572</v>
      </c>
      <c r="E1313" s="7"/>
      <c r="F1313" s="7"/>
      <c r="G1313" s="2" t="str">
        <f t="array" ref="G1313">IF(ISBLANK(D1313), "", INDEX(Categories!$B:$B,MATCH(D1313,Categories!$A:$A,0)))</f>
        <v>Groceries</v>
      </c>
      <c r="H1313" s="7" t="str">
        <f t="array" ref="H1313">IF(ISBLANK(E1313), "", INDEX(Categories!$B:$B,MATCH(E1313,Categories!$A:$A,0)))</f>
        <v/>
      </c>
      <c r="I1313" s="7" t="str">
        <f t="array" ref="I1313">IF(ISBLANK(F1313), "", INDEX(Categories!$B:$B,MATCH(F1313,Categories!$A:$A,0)))</f>
        <v/>
      </c>
      <c r="J1313" s="4"/>
      <c r="K1313" s="4"/>
      <c r="L1313" s="4"/>
      <c r="M1313" s="4"/>
      <c r="N1313" s="4"/>
      <c r="O1313" s="4"/>
      <c r="P1313" s="4"/>
      <c r="Q1313" s="4"/>
    </row>
    <row r="1314">
      <c r="A1314" s="5">
        <v>1313.0</v>
      </c>
      <c r="B1314" s="5" t="s">
        <v>1706</v>
      </c>
      <c r="C1314" s="5" t="s">
        <v>1536</v>
      </c>
      <c r="D1314" s="6">
        <f>IFERROR(__xludf.DUMMYFUNCTION("SPLIT(MID(C1314,2,LEN(C1314)-2), "","")"),1106.0)</f>
        <v>1106</v>
      </c>
      <c r="E1314" s="7"/>
      <c r="F1314" s="7"/>
      <c r="G1314" s="2" t="str">
        <f t="array" ref="G1314">IF(ISBLANK(D1314), "", INDEX(Categories!$B:$B,MATCH(D1314,Categories!$A:$A,0)))</f>
        <v>Airline Ticket Agencies</v>
      </c>
      <c r="H1314" s="7" t="str">
        <f t="array" ref="H1314">IF(ISBLANK(E1314), "", INDEX(Categories!$B:$B,MATCH(E1314,Categories!$A:$A,0)))</f>
        <v/>
      </c>
      <c r="I1314" s="7" t="str">
        <f t="array" ref="I1314">IF(ISBLANK(F1314), "", INDEX(Categories!$B:$B,MATCH(F1314,Categories!$A:$A,0)))</f>
        <v/>
      </c>
      <c r="J1314" s="4"/>
      <c r="K1314" s="4"/>
      <c r="L1314" s="4"/>
      <c r="M1314" s="4"/>
      <c r="N1314" s="4"/>
      <c r="O1314" s="4"/>
      <c r="P1314" s="4"/>
      <c r="Q1314" s="4"/>
    </row>
    <row r="1315">
      <c r="A1315" s="5">
        <v>1314.0</v>
      </c>
      <c r="B1315" s="5" t="s">
        <v>1707</v>
      </c>
      <c r="C1315" s="5" t="s">
        <v>1708</v>
      </c>
      <c r="D1315" s="6">
        <f>IFERROR(__xludf.DUMMYFUNCTION("SPLIT(MID(C1315,2,LEN(C1315)-2), "","")"),480.0)</f>
        <v>480</v>
      </c>
      <c r="E1315" s="7"/>
      <c r="F1315" s="7"/>
      <c r="G1315" s="2" t="str">
        <f t="array" ref="G1315">IF(ISBLANK(D1315), "", INDEX(Categories!$B:$B,MATCH(D1315,Categories!$A:$A,0)))</f>
        <v>Automobile Towing</v>
      </c>
      <c r="H1315" s="7" t="str">
        <f t="array" ref="H1315">IF(ISBLANK(E1315), "", INDEX(Categories!$B:$B,MATCH(E1315,Categories!$A:$A,0)))</f>
        <v/>
      </c>
      <c r="I1315" s="7" t="str">
        <f t="array" ref="I1315">IF(ISBLANK(F1315), "", INDEX(Categories!$B:$B,MATCH(F1315,Categories!$A:$A,0)))</f>
        <v/>
      </c>
      <c r="J1315" s="4"/>
      <c r="K1315" s="4"/>
      <c r="L1315" s="4"/>
      <c r="M1315" s="4"/>
      <c r="N1315" s="4"/>
      <c r="O1315" s="4"/>
      <c r="P1315" s="4"/>
      <c r="Q1315" s="4"/>
    </row>
    <row r="1316">
      <c r="A1316" s="5">
        <v>1315.0</v>
      </c>
      <c r="B1316" s="5" t="s">
        <v>1709</v>
      </c>
      <c r="C1316" s="5" t="s">
        <v>730</v>
      </c>
      <c r="D1316" s="6">
        <f>IFERROR(__xludf.DUMMYFUNCTION("SPLIT(MID(C1316,2,LEN(C1316)-2), "","")"),2765.0)</f>
        <v>2765</v>
      </c>
      <c r="E1316" s="7"/>
      <c r="F1316" s="7"/>
      <c r="G1316" s="2" t="str">
        <f t="array" ref="G1316">IF(ISBLANK(D1316), "", INDEX(Categories!$B:$B,MATCH(D1316,Categories!$A:$A,0)))</f>
        <v>Miscellaneous Business Services</v>
      </c>
      <c r="H1316" s="7" t="str">
        <f t="array" ref="H1316">IF(ISBLANK(E1316), "", INDEX(Categories!$B:$B,MATCH(E1316,Categories!$A:$A,0)))</f>
        <v/>
      </c>
      <c r="I1316" s="7" t="str">
        <f t="array" ref="I1316">IF(ISBLANK(F1316), "", INDEX(Categories!$B:$B,MATCH(F1316,Categories!$A:$A,0)))</f>
        <v/>
      </c>
      <c r="J1316" s="4"/>
      <c r="K1316" s="4"/>
      <c r="L1316" s="4"/>
      <c r="M1316" s="4"/>
      <c r="N1316" s="4"/>
      <c r="O1316" s="4"/>
      <c r="P1316" s="4"/>
      <c r="Q1316" s="4"/>
    </row>
    <row r="1317">
      <c r="A1317" s="5">
        <v>1316.0</v>
      </c>
      <c r="B1317" s="5" t="s">
        <v>1710</v>
      </c>
      <c r="C1317" s="5" t="s">
        <v>96</v>
      </c>
      <c r="D1317" s="6">
        <f>IFERROR(__xludf.DUMMYFUNCTION("SPLIT(MID(C1317,2,LEN(C1317)-2), "","")"),572.0)</f>
        <v>572</v>
      </c>
      <c r="E1317" s="7"/>
      <c r="F1317" s="7"/>
      <c r="G1317" s="2" t="str">
        <f t="array" ref="G1317">IF(ISBLANK(D1317), "", INDEX(Categories!$B:$B,MATCH(D1317,Categories!$A:$A,0)))</f>
        <v>Groceries</v>
      </c>
      <c r="H1317" s="7" t="str">
        <f t="array" ref="H1317">IF(ISBLANK(E1317), "", INDEX(Categories!$B:$B,MATCH(E1317,Categories!$A:$A,0)))</f>
        <v/>
      </c>
      <c r="I1317" s="7" t="str">
        <f t="array" ref="I1317">IF(ISBLANK(F1317), "", INDEX(Categories!$B:$B,MATCH(F1317,Categories!$A:$A,0)))</f>
        <v/>
      </c>
      <c r="J1317" s="4"/>
      <c r="K1317" s="4"/>
      <c r="L1317" s="4"/>
      <c r="M1317" s="4"/>
      <c r="N1317" s="4"/>
      <c r="O1317" s="4"/>
      <c r="P1317" s="4"/>
      <c r="Q1317" s="4"/>
    </row>
    <row r="1318">
      <c r="A1318" s="5">
        <v>1317.0</v>
      </c>
      <c r="B1318" s="5" t="s">
        <v>1711</v>
      </c>
      <c r="C1318" s="5" t="s">
        <v>428</v>
      </c>
      <c r="D1318" s="6">
        <f>IFERROR(__xludf.DUMMYFUNCTION("SPLIT(MID(C1318,2,LEN(C1318)-2), "","")"),558.0)</f>
        <v>558</v>
      </c>
      <c r="E1318" s="7"/>
      <c r="F1318" s="7"/>
      <c r="G1318" s="2" t="str">
        <f t="array" ref="G1318">IF(ISBLANK(D1318), "", INDEX(Categories!$B:$B,MATCH(D1318,Categories!$A:$A,0)))</f>
        <v>Employment Agencies</v>
      </c>
      <c r="H1318" s="7" t="str">
        <f t="array" ref="H1318">IF(ISBLANK(E1318), "", INDEX(Categories!$B:$B,MATCH(E1318,Categories!$A:$A,0)))</f>
        <v/>
      </c>
      <c r="I1318" s="7" t="str">
        <f t="array" ref="I1318">IF(ISBLANK(F1318), "", INDEX(Categories!$B:$B,MATCH(F1318,Categories!$A:$A,0)))</f>
        <v/>
      </c>
      <c r="J1318" s="4"/>
      <c r="K1318" s="4"/>
      <c r="L1318" s="4"/>
      <c r="M1318" s="4"/>
      <c r="N1318" s="4"/>
      <c r="O1318" s="4"/>
      <c r="P1318" s="4"/>
      <c r="Q1318" s="4"/>
    </row>
    <row r="1319">
      <c r="A1319" s="5">
        <v>1318.0</v>
      </c>
      <c r="B1319" s="5" t="s">
        <v>1712</v>
      </c>
      <c r="C1319" s="5" t="s">
        <v>309</v>
      </c>
      <c r="D1319" s="6">
        <f>IFERROR(__xludf.DUMMYFUNCTION("SPLIT(MID(C1319,2,LEN(C1319)-2), "","")"),458.0)</f>
        <v>458</v>
      </c>
      <c r="E1319" s="7"/>
      <c r="F1319" s="7"/>
      <c r="G1319" s="2" t="str">
        <f t="array" ref="G1319">IF(ISBLANK(D1319), "", INDEX(Categories!$B:$B,MATCH(D1319,Categories!$A:$A,0)))</f>
        <v>Real Estate - Brokers &amp; Agents</v>
      </c>
      <c r="H1319" s="7" t="str">
        <f t="array" ref="H1319">IF(ISBLANK(E1319), "", INDEX(Categories!$B:$B,MATCH(E1319,Categories!$A:$A,0)))</f>
        <v/>
      </c>
      <c r="I1319" s="7" t="str">
        <f t="array" ref="I1319">IF(ISBLANK(F1319), "", INDEX(Categories!$B:$B,MATCH(F1319,Categories!$A:$A,0)))</f>
        <v/>
      </c>
      <c r="J1319" s="4"/>
      <c r="K1319" s="4"/>
      <c r="L1319" s="4"/>
      <c r="M1319" s="4"/>
      <c r="N1319" s="4"/>
      <c r="O1319" s="4"/>
      <c r="P1319" s="4"/>
      <c r="Q1319" s="4"/>
    </row>
    <row r="1320">
      <c r="A1320" s="5">
        <v>1319.0</v>
      </c>
      <c r="B1320" s="5" t="s">
        <v>1713</v>
      </c>
      <c r="C1320" s="5" t="s">
        <v>62</v>
      </c>
      <c r="D1320" s="6">
        <f>IFERROR(__xludf.DUMMYFUNCTION("SPLIT(MID(C1320,2,LEN(C1320)-2), "","")"),242.0)</f>
        <v>242</v>
      </c>
      <c r="E1320" s="7"/>
      <c r="F1320" s="7"/>
      <c r="G1320" s="2" t="str">
        <f t="array" ref="G1320">IF(ISBLANK(D1320), "", INDEX(Categories!$B:$B,MATCH(D1320,Categories!$A:$A,0)))</f>
        <v>Restaurants Pizza</v>
      </c>
      <c r="H1320" s="7" t="str">
        <f t="array" ref="H1320">IF(ISBLANK(E1320), "", INDEX(Categories!$B:$B,MATCH(E1320,Categories!$A:$A,0)))</f>
        <v/>
      </c>
      <c r="I1320" s="7" t="str">
        <f t="array" ref="I1320">IF(ISBLANK(F1320), "", INDEX(Categories!$B:$B,MATCH(F1320,Categories!$A:$A,0)))</f>
        <v/>
      </c>
      <c r="J1320" s="4"/>
      <c r="K1320" s="4"/>
      <c r="L1320" s="4"/>
      <c r="M1320" s="4"/>
      <c r="N1320" s="4"/>
      <c r="O1320" s="4"/>
      <c r="P1320" s="4"/>
      <c r="Q1320" s="4"/>
    </row>
    <row r="1321">
      <c r="A1321" s="5">
        <v>1320.0</v>
      </c>
      <c r="B1321" s="5" t="s">
        <v>1714</v>
      </c>
      <c r="C1321" s="5" t="s">
        <v>309</v>
      </c>
      <c r="D1321" s="6">
        <f>IFERROR(__xludf.DUMMYFUNCTION("SPLIT(MID(C1321,2,LEN(C1321)-2), "","")"),458.0)</f>
        <v>458</v>
      </c>
      <c r="E1321" s="7"/>
      <c r="F1321" s="7"/>
      <c r="G1321" s="2" t="str">
        <f t="array" ref="G1321">IF(ISBLANK(D1321), "", INDEX(Categories!$B:$B,MATCH(D1321,Categories!$A:$A,0)))</f>
        <v>Real Estate - Brokers &amp; Agents</v>
      </c>
      <c r="H1321" s="7" t="str">
        <f t="array" ref="H1321">IF(ISBLANK(E1321), "", INDEX(Categories!$B:$B,MATCH(E1321,Categories!$A:$A,0)))</f>
        <v/>
      </c>
      <c r="I1321" s="7" t="str">
        <f t="array" ref="I1321">IF(ISBLANK(F1321), "", INDEX(Categories!$B:$B,MATCH(F1321,Categories!$A:$A,0)))</f>
        <v/>
      </c>
      <c r="J1321" s="4"/>
      <c r="K1321" s="4"/>
      <c r="L1321" s="4"/>
      <c r="M1321" s="4"/>
      <c r="N1321" s="4"/>
      <c r="O1321" s="4"/>
      <c r="P1321" s="4"/>
      <c r="Q1321" s="4"/>
    </row>
    <row r="1322">
      <c r="A1322" s="5">
        <v>1321.0</v>
      </c>
      <c r="B1322" s="5" t="s">
        <v>1715</v>
      </c>
      <c r="C1322" s="5" t="s">
        <v>1081</v>
      </c>
      <c r="D1322" s="6">
        <f>IFERROR(__xludf.DUMMYFUNCTION("SPLIT(MID(C1322,2,LEN(C1322)-2), "","")"),18.0)</f>
        <v>18</v>
      </c>
      <c r="E1322" s="7"/>
      <c r="F1322" s="7"/>
      <c r="G1322" s="2" t="str">
        <f t="array" ref="G1322">IF(ISBLANK(D1322), "", INDEX(Categories!$B:$B,MATCH(D1322,Categories!$A:$A,0)))</f>
        <v>Furniture</v>
      </c>
      <c r="H1322" s="7" t="str">
        <f t="array" ref="H1322">IF(ISBLANK(E1322), "", INDEX(Categories!$B:$B,MATCH(E1322,Categories!$A:$A,0)))</f>
        <v/>
      </c>
      <c r="I1322" s="7" t="str">
        <f t="array" ref="I1322">IF(ISBLANK(F1322), "", INDEX(Categories!$B:$B,MATCH(F1322,Categories!$A:$A,0)))</f>
        <v/>
      </c>
      <c r="J1322" s="4"/>
      <c r="K1322" s="4"/>
      <c r="L1322" s="4"/>
      <c r="M1322" s="4"/>
      <c r="N1322" s="4"/>
      <c r="O1322" s="4"/>
      <c r="P1322" s="4"/>
      <c r="Q1322" s="4"/>
    </row>
    <row r="1323">
      <c r="A1323" s="5">
        <v>1322.0</v>
      </c>
      <c r="B1323" s="5" t="s">
        <v>1716</v>
      </c>
      <c r="C1323" s="5" t="s">
        <v>303</v>
      </c>
      <c r="D1323" s="6">
        <f>IFERROR(__xludf.DUMMYFUNCTION("SPLIT(MID(C1323,2,LEN(C1323)-2), "","")"),1241.0)</f>
        <v>1241</v>
      </c>
      <c r="E1323" s="7"/>
      <c r="F1323" s="7"/>
      <c r="G1323" s="2" t="str">
        <f t="array" ref="G1323">IF(ISBLANK(D1323), "", INDEX(Categories!$B:$B,MATCH(D1323,Categories!$A:$A,0)))</f>
        <v>Clothing &amp; Accessories</v>
      </c>
      <c r="H1323" s="7" t="str">
        <f t="array" ref="H1323">IF(ISBLANK(E1323), "", INDEX(Categories!$B:$B,MATCH(E1323,Categories!$A:$A,0)))</f>
        <v/>
      </c>
      <c r="I1323" s="7" t="str">
        <f t="array" ref="I1323">IF(ISBLANK(F1323), "", INDEX(Categories!$B:$B,MATCH(F1323,Categories!$A:$A,0)))</f>
        <v/>
      </c>
      <c r="J1323" s="4"/>
      <c r="K1323" s="4"/>
      <c r="L1323" s="4"/>
      <c r="M1323" s="4"/>
      <c r="N1323" s="4"/>
      <c r="O1323" s="4"/>
      <c r="P1323" s="4"/>
      <c r="Q1323" s="4"/>
    </row>
    <row r="1324">
      <c r="A1324" s="5">
        <v>1323.0</v>
      </c>
      <c r="B1324" s="5" t="s">
        <v>1717</v>
      </c>
      <c r="C1324" s="5" t="s">
        <v>34</v>
      </c>
      <c r="D1324" s="6">
        <f>IFERROR(__xludf.DUMMYFUNCTION("SPLIT(MID(C1324,2,LEN(C1324)-2), "","")"),228.0)</f>
        <v>228</v>
      </c>
      <c r="E1324" s="7"/>
      <c r="F1324" s="7"/>
      <c r="G1324" s="2" t="str">
        <f t="array" ref="G1324">IF(ISBLANK(D1324), "", INDEX(Categories!$B:$B,MATCH(D1324,Categories!$A:$A,0)))</f>
        <v>Restaurants</v>
      </c>
      <c r="H1324" s="7" t="str">
        <f t="array" ref="H1324">IF(ISBLANK(E1324), "", INDEX(Categories!$B:$B,MATCH(E1324,Categories!$A:$A,0)))</f>
        <v/>
      </c>
      <c r="I1324" s="7" t="str">
        <f t="array" ref="I1324">IF(ISBLANK(F1324), "", INDEX(Categories!$B:$B,MATCH(F1324,Categories!$A:$A,0)))</f>
        <v/>
      </c>
      <c r="J1324" s="4"/>
      <c r="K1324" s="4"/>
      <c r="L1324" s="4"/>
      <c r="M1324" s="4"/>
      <c r="N1324" s="4"/>
      <c r="O1324" s="4"/>
      <c r="P1324" s="4"/>
      <c r="Q1324" s="4"/>
    </row>
    <row r="1325">
      <c r="A1325" s="5">
        <v>1324.0</v>
      </c>
      <c r="B1325" s="5" t="s">
        <v>1718</v>
      </c>
      <c r="C1325" s="5" t="s">
        <v>748</v>
      </c>
      <c r="D1325" s="6">
        <f>IFERROR(__xludf.DUMMYFUNCTION("SPLIT(MID(C1325,2,LEN(C1325)-2), "","")"),2382.0)</f>
        <v>2382</v>
      </c>
      <c r="E1325" s="7"/>
      <c r="F1325" s="7"/>
      <c r="G1325" s="2" t="str">
        <f t="array" ref="G1325">IF(ISBLANK(D1325), "", INDEX(Categories!$B:$B,MATCH(D1325,Categories!$A:$A,0)))</f>
        <v>Signs</v>
      </c>
      <c r="H1325" s="7" t="str">
        <f t="array" ref="H1325">IF(ISBLANK(E1325), "", INDEX(Categories!$B:$B,MATCH(E1325,Categories!$A:$A,0)))</f>
        <v/>
      </c>
      <c r="I1325" s="7" t="str">
        <f t="array" ref="I1325">IF(ISBLANK(F1325), "", INDEX(Categories!$B:$B,MATCH(F1325,Categories!$A:$A,0)))</f>
        <v/>
      </c>
      <c r="J1325" s="4"/>
      <c r="K1325" s="4"/>
      <c r="L1325" s="4"/>
      <c r="M1325" s="4"/>
      <c r="N1325" s="4"/>
      <c r="O1325" s="4"/>
      <c r="P1325" s="4"/>
      <c r="Q1325" s="4"/>
    </row>
    <row r="1326">
      <c r="A1326" s="5">
        <v>1325.0</v>
      </c>
      <c r="B1326" s="5" t="s">
        <v>1719</v>
      </c>
      <c r="C1326" s="5" t="s">
        <v>428</v>
      </c>
      <c r="D1326" s="6">
        <f>IFERROR(__xludf.DUMMYFUNCTION("SPLIT(MID(C1326,2,LEN(C1326)-2), "","")"),558.0)</f>
        <v>558</v>
      </c>
      <c r="E1326" s="7"/>
      <c r="F1326" s="7"/>
      <c r="G1326" s="2" t="str">
        <f t="array" ref="G1326">IF(ISBLANK(D1326), "", INDEX(Categories!$B:$B,MATCH(D1326,Categories!$A:$A,0)))</f>
        <v>Employment Agencies</v>
      </c>
      <c r="H1326" s="7" t="str">
        <f t="array" ref="H1326">IF(ISBLANK(E1326), "", INDEX(Categories!$B:$B,MATCH(E1326,Categories!$A:$A,0)))</f>
        <v/>
      </c>
      <c r="I1326" s="7" t="str">
        <f t="array" ref="I1326">IF(ISBLANK(F1326), "", INDEX(Categories!$B:$B,MATCH(F1326,Categories!$A:$A,0)))</f>
        <v/>
      </c>
      <c r="J1326" s="4"/>
      <c r="K1326" s="4"/>
      <c r="L1326" s="4"/>
      <c r="M1326" s="4"/>
      <c r="N1326" s="4"/>
      <c r="O1326" s="4"/>
      <c r="P1326" s="4"/>
      <c r="Q1326" s="4"/>
    </row>
    <row r="1327">
      <c r="A1327" s="5">
        <v>1326.0</v>
      </c>
      <c r="B1327" s="5" t="s">
        <v>1720</v>
      </c>
      <c r="C1327" s="5" t="s">
        <v>1148</v>
      </c>
      <c r="D1327" s="6">
        <f>IFERROR(__xludf.DUMMYFUNCTION("SPLIT(MID(C1327,2,LEN(C1327)-2), "","")"),235.0)</f>
        <v>235</v>
      </c>
      <c r="E1327" s="7"/>
      <c r="F1327" s="7"/>
      <c r="G1327" s="2" t="str">
        <f t="array" ref="G1327">IF(ISBLANK(D1327), "", INDEX(Categories!$B:$B,MATCH(D1327,Categories!$A:$A,0)))</f>
        <v>Restaurants Barbecue</v>
      </c>
      <c r="H1327" s="7" t="str">
        <f t="array" ref="H1327">IF(ISBLANK(E1327), "", INDEX(Categories!$B:$B,MATCH(E1327,Categories!$A:$A,0)))</f>
        <v/>
      </c>
      <c r="I1327" s="7" t="str">
        <f t="array" ref="I1327">IF(ISBLANK(F1327), "", INDEX(Categories!$B:$B,MATCH(F1327,Categories!$A:$A,0)))</f>
        <v/>
      </c>
      <c r="J1327" s="4"/>
      <c r="K1327" s="4"/>
      <c r="L1327" s="4"/>
      <c r="M1327" s="4"/>
      <c r="N1327" s="4"/>
      <c r="O1327" s="4"/>
      <c r="P1327" s="4"/>
      <c r="Q1327" s="4"/>
    </row>
    <row r="1328">
      <c r="A1328" s="5">
        <v>1327.0</v>
      </c>
      <c r="B1328" s="5" t="s">
        <v>1721</v>
      </c>
      <c r="C1328" s="5" t="s">
        <v>1364</v>
      </c>
      <c r="D1328" s="6">
        <f>IFERROR(__xludf.DUMMYFUNCTION("SPLIT(MID(C1328,2,LEN(C1328)-2), "","")"),2543.0)</f>
        <v>2543</v>
      </c>
      <c r="E1328" s="7"/>
      <c r="F1328" s="7"/>
      <c r="G1328" s="2" t="str">
        <f t="array" ref="G1328">IF(ISBLANK(D1328), "", INDEX(Categories!$B:$B,MATCH(D1328,Categories!$A:$A,0)))</f>
        <v>Cleaning House &amp; Office</v>
      </c>
      <c r="H1328" s="7" t="str">
        <f t="array" ref="H1328">IF(ISBLANK(E1328), "", INDEX(Categories!$B:$B,MATCH(E1328,Categories!$A:$A,0)))</f>
        <v/>
      </c>
      <c r="I1328" s="7" t="str">
        <f t="array" ref="I1328">IF(ISBLANK(F1328), "", INDEX(Categories!$B:$B,MATCH(F1328,Categories!$A:$A,0)))</f>
        <v/>
      </c>
      <c r="J1328" s="4"/>
      <c r="K1328" s="4"/>
      <c r="L1328" s="4"/>
      <c r="M1328" s="4"/>
      <c r="N1328" s="4"/>
      <c r="O1328" s="4"/>
      <c r="P1328" s="4"/>
      <c r="Q1328" s="4"/>
    </row>
    <row r="1329">
      <c r="A1329" s="5">
        <v>1328.0</v>
      </c>
      <c r="B1329" s="5" t="s">
        <v>1722</v>
      </c>
      <c r="C1329" s="5" t="s">
        <v>87</v>
      </c>
      <c r="D1329" s="6">
        <f>IFERROR(__xludf.DUMMYFUNCTION("SPLIT(MID(C1329,2,LEN(C1329)-2), "","")"),168.0)</f>
        <v>168</v>
      </c>
      <c r="E1329" s="7"/>
      <c r="F1329" s="7"/>
      <c r="G1329" s="2" t="str">
        <f t="array" ref="G1329">IF(ISBLANK(D1329), "", INDEX(Categories!$B:$B,MATCH(D1329,Categories!$A:$A,0)))</f>
        <v>Hotels &amp; Motels</v>
      </c>
      <c r="H1329" s="7" t="str">
        <f t="array" ref="H1329">IF(ISBLANK(E1329), "", INDEX(Categories!$B:$B,MATCH(E1329,Categories!$A:$A,0)))</f>
        <v/>
      </c>
      <c r="I1329" s="7" t="str">
        <f t="array" ref="I1329">IF(ISBLANK(F1329), "", INDEX(Categories!$B:$B,MATCH(F1329,Categories!$A:$A,0)))</f>
        <v/>
      </c>
      <c r="J1329" s="4"/>
      <c r="K1329" s="4"/>
      <c r="L1329" s="4"/>
      <c r="M1329" s="4"/>
      <c r="N1329" s="4"/>
      <c r="O1329" s="4"/>
      <c r="P1329" s="4"/>
      <c r="Q1329" s="4"/>
    </row>
    <row r="1330">
      <c r="A1330" s="5">
        <v>1329.0</v>
      </c>
      <c r="B1330" s="5" t="s">
        <v>1723</v>
      </c>
      <c r="C1330" s="5" t="s">
        <v>1724</v>
      </c>
      <c r="D1330" s="6">
        <f>IFERROR(__xludf.DUMMYFUNCTION("SPLIT(MID(C1330,2,LEN(C1330)-2), "","")"),2621.0)</f>
        <v>2621</v>
      </c>
      <c r="E1330" s="7"/>
      <c r="F1330" s="7"/>
      <c r="G1330" s="2" t="str">
        <f t="array" ref="G1330">IF(ISBLANK(D1330), "", INDEX(Categories!$B:$B,MATCH(D1330,Categories!$A:$A,0)))</f>
        <v>Automobile Detailing &amp; Clean Up Service</v>
      </c>
      <c r="H1330" s="7" t="str">
        <f t="array" ref="H1330">IF(ISBLANK(E1330), "", INDEX(Categories!$B:$B,MATCH(E1330,Categories!$A:$A,0)))</f>
        <v/>
      </c>
      <c r="I1330" s="7" t="str">
        <f t="array" ref="I1330">IF(ISBLANK(F1330), "", INDEX(Categories!$B:$B,MATCH(F1330,Categories!$A:$A,0)))</f>
        <v/>
      </c>
      <c r="J1330" s="4"/>
      <c r="K1330" s="4"/>
      <c r="L1330" s="4"/>
      <c r="M1330" s="4"/>
      <c r="N1330" s="4"/>
      <c r="O1330" s="4"/>
      <c r="P1330" s="4"/>
      <c r="Q1330" s="4"/>
    </row>
    <row r="1331">
      <c r="A1331" s="5">
        <v>1330.0</v>
      </c>
      <c r="B1331" s="5" t="s">
        <v>1725</v>
      </c>
      <c r="C1331" s="5" t="s">
        <v>1300</v>
      </c>
      <c r="D1331" s="6">
        <f>IFERROR(__xludf.DUMMYFUNCTION("SPLIT(MID(C1331,2,LEN(C1331)-2), "","")"),785.0)</f>
        <v>785</v>
      </c>
      <c r="E1331" s="7"/>
      <c r="F1331" s="7"/>
      <c r="G1331" s="2" t="str">
        <f t="array" ref="G1331">IF(ISBLANK(D1331), "", INDEX(Categories!$B:$B,MATCH(D1331,Categories!$A:$A,0)))</f>
        <v>Advertising Direct Mail</v>
      </c>
      <c r="H1331" s="7" t="str">
        <f t="array" ref="H1331">IF(ISBLANK(E1331), "", INDEX(Categories!$B:$B,MATCH(E1331,Categories!$A:$A,0)))</f>
        <v/>
      </c>
      <c r="I1331" s="7" t="str">
        <f t="array" ref="I1331">IF(ISBLANK(F1331), "", INDEX(Categories!$B:$B,MATCH(F1331,Categories!$A:$A,0)))</f>
        <v/>
      </c>
      <c r="J1331" s="4"/>
      <c r="K1331" s="4"/>
      <c r="L1331" s="4"/>
      <c r="M1331" s="4"/>
      <c r="N1331" s="4"/>
      <c r="O1331" s="4"/>
      <c r="P1331" s="4"/>
      <c r="Q1331" s="4"/>
    </row>
    <row r="1332">
      <c r="A1332" s="5">
        <v>1331.0</v>
      </c>
      <c r="B1332" s="5" t="s">
        <v>1726</v>
      </c>
      <c r="C1332" s="5" t="s">
        <v>69</v>
      </c>
      <c r="D1332" s="6">
        <f>IFERROR(__xludf.DUMMYFUNCTION("SPLIT(MID(C1332,2,LEN(C1332)-2), "","")"),293.0)</f>
        <v>293</v>
      </c>
      <c r="E1332" s="7"/>
      <c r="F1332" s="7"/>
      <c r="G1332" s="2" t="str">
        <f t="array" ref="G1332">IF(ISBLANK(D1332), "", INDEX(Categories!$B:$B,MATCH(D1332,Categories!$A:$A,0)))</f>
        <v>Banks Commercial</v>
      </c>
      <c r="H1332" s="7" t="str">
        <f t="array" ref="H1332">IF(ISBLANK(E1332), "", INDEX(Categories!$B:$B,MATCH(E1332,Categories!$A:$A,0)))</f>
        <v/>
      </c>
      <c r="I1332" s="7" t="str">
        <f t="array" ref="I1332">IF(ISBLANK(F1332), "", INDEX(Categories!$B:$B,MATCH(F1332,Categories!$A:$A,0)))</f>
        <v/>
      </c>
      <c r="J1332" s="4"/>
      <c r="K1332" s="4"/>
      <c r="L1332" s="4"/>
      <c r="M1332" s="4"/>
      <c r="N1332" s="4"/>
      <c r="O1332" s="4"/>
      <c r="P1332" s="4"/>
      <c r="Q1332" s="4"/>
    </row>
    <row r="1333">
      <c r="A1333" s="5">
        <v>1332.0</v>
      </c>
      <c r="B1333" s="5" t="s">
        <v>1727</v>
      </c>
      <c r="C1333" s="5" t="s">
        <v>631</v>
      </c>
      <c r="D1333" s="6">
        <f>IFERROR(__xludf.DUMMYFUNCTION("SPLIT(MID(C1333,2,LEN(C1333)-2), "","")"),25.0)</f>
        <v>25</v>
      </c>
      <c r="E1333" s="7"/>
      <c r="F1333" s="7"/>
      <c r="G1333" s="2" t="str">
        <f t="array" ref="G1333">IF(ISBLANK(D1333), "", INDEX(Categories!$B:$B,MATCH(D1333,Categories!$A:$A,0)))</f>
        <v>Furniture Dealers</v>
      </c>
      <c r="H1333" s="7" t="str">
        <f t="array" ref="H1333">IF(ISBLANK(E1333), "", INDEX(Categories!$B:$B,MATCH(E1333,Categories!$A:$A,0)))</f>
        <v/>
      </c>
      <c r="I1333" s="7" t="str">
        <f t="array" ref="I1333">IF(ISBLANK(F1333), "", INDEX(Categories!$B:$B,MATCH(F1333,Categories!$A:$A,0)))</f>
        <v/>
      </c>
      <c r="J1333" s="4"/>
      <c r="K1333" s="4"/>
      <c r="L1333" s="4"/>
      <c r="M1333" s="4"/>
      <c r="N1333" s="4"/>
      <c r="O1333" s="4"/>
      <c r="P1333" s="4"/>
      <c r="Q1333" s="4"/>
    </row>
    <row r="1334">
      <c r="A1334" s="5">
        <v>1333.0</v>
      </c>
      <c r="B1334" s="5" t="s">
        <v>1728</v>
      </c>
      <c r="C1334" s="5" t="s">
        <v>274</v>
      </c>
      <c r="D1334" s="6">
        <f>IFERROR(__xludf.DUMMYFUNCTION("SPLIT(MID(C1334,2,LEN(C1334)-2), "","")"),619.0)</f>
        <v>619</v>
      </c>
      <c r="E1334" s="7"/>
      <c r="F1334" s="7"/>
      <c r="G1334" s="2" t="str">
        <f t="array" ref="G1334">IF(ISBLANK(D1334), "", INDEX(Categories!$B:$B,MATCH(D1334,Categories!$A:$A,0)))</f>
        <v>Jewelry</v>
      </c>
      <c r="H1334" s="7" t="str">
        <f t="array" ref="H1334">IF(ISBLANK(E1334), "", INDEX(Categories!$B:$B,MATCH(E1334,Categories!$A:$A,0)))</f>
        <v/>
      </c>
      <c r="I1334" s="7" t="str">
        <f t="array" ref="I1334">IF(ISBLANK(F1334), "", INDEX(Categories!$B:$B,MATCH(F1334,Categories!$A:$A,0)))</f>
        <v/>
      </c>
      <c r="J1334" s="4"/>
      <c r="K1334" s="4"/>
      <c r="L1334" s="4"/>
      <c r="M1334" s="4"/>
      <c r="N1334" s="4"/>
      <c r="O1334" s="4"/>
      <c r="P1334" s="4"/>
      <c r="Q1334" s="4"/>
    </row>
    <row r="1335">
      <c r="A1335" s="5">
        <v>1334.0</v>
      </c>
      <c r="B1335" s="5" t="s">
        <v>1729</v>
      </c>
      <c r="C1335" s="5" t="s">
        <v>34</v>
      </c>
      <c r="D1335" s="6">
        <f>IFERROR(__xludf.DUMMYFUNCTION("SPLIT(MID(C1335,2,LEN(C1335)-2), "","")"),228.0)</f>
        <v>228</v>
      </c>
      <c r="E1335" s="7"/>
      <c r="F1335" s="7"/>
      <c r="G1335" s="2" t="str">
        <f t="array" ref="G1335">IF(ISBLANK(D1335), "", INDEX(Categories!$B:$B,MATCH(D1335,Categories!$A:$A,0)))</f>
        <v>Restaurants</v>
      </c>
      <c r="H1335" s="7" t="str">
        <f t="array" ref="H1335">IF(ISBLANK(E1335), "", INDEX(Categories!$B:$B,MATCH(E1335,Categories!$A:$A,0)))</f>
        <v/>
      </c>
      <c r="I1335" s="7" t="str">
        <f t="array" ref="I1335">IF(ISBLANK(F1335), "", INDEX(Categories!$B:$B,MATCH(F1335,Categories!$A:$A,0)))</f>
        <v/>
      </c>
      <c r="J1335" s="4"/>
      <c r="K1335" s="4"/>
      <c r="L1335" s="4"/>
      <c r="M1335" s="4"/>
      <c r="N1335" s="4"/>
      <c r="O1335" s="4"/>
      <c r="P1335" s="4"/>
      <c r="Q1335" s="4"/>
    </row>
    <row r="1336">
      <c r="A1336" s="5">
        <v>1335.0</v>
      </c>
      <c r="B1336" s="5" t="s">
        <v>1730</v>
      </c>
      <c r="C1336" s="5" t="s">
        <v>128</v>
      </c>
      <c r="D1336" s="6">
        <f>IFERROR(__xludf.DUMMYFUNCTION("SPLIT(MID(C1336,2,LEN(C1336)-2), "","")"),110.0)</f>
        <v>110</v>
      </c>
      <c r="E1336" s="7"/>
      <c r="F1336" s="7"/>
      <c r="G1336" s="2" t="str">
        <f t="array" ref="G1336">IF(ISBLANK(D1336), "", INDEX(Categories!$B:$B,MATCH(D1336,Categories!$A:$A,0)))</f>
        <v>Automobile - Tires</v>
      </c>
      <c r="H1336" s="7" t="str">
        <f t="array" ref="H1336">IF(ISBLANK(E1336), "", INDEX(Categories!$B:$B,MATCH(E1336,Categories!$A:$A,0)))</f>
        <v/>
      </c>
      <c r="I1336" s="7" t="str">
        <f t="array" ref="I1336">IF(ISBLANK(F1336), "", INDEX(Categories!$B:$B,MATCH(F1336,Categories!$A:$A,0)))</f>
        <v/>
      </c>
      <c r="J1336" s="4"/>
      <c r="K1336" s="4"/>
      <c r="L1336" s="4"/>
      <c r="M1336" s="4"/>
      <c r="N1336" s="4"/>
      <c r="O1336" s="4"/>
      <c r="P1336" s="4"/>
      <c r="Q1336" s="4"/>
    </row>
    <row r="1337">
      <c r="A1337" s="5">
        <v>1336.0</v>
      </c>
      <c r="B1337" s="5" t="s">
        <v>1731</v>
      </c>
      <c r="C1337" s="5" t="s">
        <v>309</v>
      </c>
      <c r="D1337" s="6">
        <f>IFERROR(__xludf.DUMMYFUNCTION("SPLIT(MID(C1337,2,LEN(C1337)-2), "","")"),458.0)</f>
        <v>458</v>
      </c>
      <c r="E1337" s="7"/>
      <c r="F1337" s="7"/>
      <c r="G1337" s="2" t="str">
        <f t="array" ref="G1337">IF(ISBLANK(D1337), "", INDEX(Categories!$B:$B,MATCH(D1337,Categories!$A:$A,0)))</f>
        <v>Real Estate - Brokers &amp; Agents</v>
      </c>
      <c r="H1337" s="7" t="str">
        <f t="array" ref="H1337">IF(ISBLANK(E1337), "", INDEX(Categories!$B:$B,MATCH(E1337,Categories!$A:$A,0)))</f>
        <v/>
      </c>
      <c r="I1337" s="7" t="str">
        <f t="array" ref="I1337">IF(ISBLANK(F1337), "", INDEX(Categories!$B:$B,MATCH(F1337,Categories!$A:$A,0)))</f>
        <v/>
      </c>
      <c r="J1337" s="4"/>
      <c r="K1337" s="4"/>
      <c r="L1337" s="4"/>
      <c r="M1337" s="4"/>
      <c r="N1337" s="4"/>
      <c r="O1337" s="4"/>
      <c r="P1337" s="4"/>
      <c r="Q1337" s="4"/>
    </row>
    <row r="1338">
      <c r="A1338" s="5">
        <v>1337.0</v>
      </c>
      <c r="B1338" s="5" t="s">
        <v>1732</v>
      </c>
      <c r="C1338" s="5" t="s">
        <v>1733</v>
      </c>
      <c r="D1338" s="6">
        <f>IFERROR(__xludf.DUMMYFUNCTION("SPLIT(MID(C1338,2,LEN(C1338)-2), "","")"),1238.0)</f>
        <v>1238</v>
      </c>
      <c r="E1338" s="7"/>
      <c r="F1338" s="7"/>
      <c r="G1338" s="2" t="str">
        <f t="array" ref="G1338">IF(ISBLANK(D1338), "", INDEX(Categories!$B:$B,MATCH(D1338,Categories!$A:$A,0)))</f>
        <v>Inks Printing &amp; Lithographing</v>
      </c>
      <c r="H1338" s="7" t="str">
        <f t="array" ref="H1338">IF(ISBLANK(E1338), "", INDEX(Categories!$B:$B,MATCH(E1338,Categories!$A:$A,0)))</f>
        <v/>
      </c>
      <c r="I1338" s="7" t="str">
        <f t="array" ref="I1338">IF(ISBLANK(F1338), "", INDEX(Categories!$B:$B,MATCH(F1338,Categories!$A:$A,0)))</f>
        <v/>
      </c>
      <c r="J1338" s="4"/>
      <c r="K1338" s="4"/>
      <c r="L1338" s="4"/>
      <c r="M1338" s="4"/>
      <c r="N1338" s="4"/>
      <c r="O1338" s="4"/>
      <c r="P1338" s="4"/>
      <c r="Q1338" s="4"/>
    </row>
    <row r="1339">
      <c r="A1339" s="5">
        <v>1338.0</v>
      </c>
      <c r="B1339" s="5" t="s">
        <v>1734</v>
      </c>
      <c r="C1339" s="5" t="s">
        <v>69</v>
      </c>
      <c r="D1339" s="6">
        <f>IFERROR(__xludf.DUMMYFUNCTION("SPLIT(MID(C1339,2,LEN(C1339)-2), "","")"),293.0)</f>
        <v>293</v>
      </c>
      <c r="E1339" s="7"/>
      <c r="F1339" s="7"/>
      <c r="G1339" s="2" t="str">
        <f t="array" ref="G1339">IF(ISBLANK(D1339), "", INDEX(Categories!$B:$B,MATCH(D1339,Categories!$A:$A,0)))</f>
        <v>Banks Commercial</v>
      </c>
      <c r="H1339" s="7" t="str">
        <f t="array" ref="H1339">IF(ISBLANK(E1339), "", INDEX(Categories!$B:$B,MATCH(E1339,Categories!$A:$A,0)))</f>
        <v/>
      </c>
      <c r="I1339" s="7" t="str">
        <f t="array" ref="I1339">IF(ISBLANK(F1339), "", INDEX(Categories!$B:$B,MATCH(F1339,Categories!$A:$A,0)))</f>
        <v/>
      </c>
      <c r="J1339" s="4"/>
      <c r="K1339" s="4"/>
      <c r="L1339" s="4"/>
      <c r="M1339" s="4"/>
      <c r="N1339" s="4"/>
      <c r="O1339" s="4"/>
      <c r="P1339" s="4"/>
      <c r="Q1339" s="4"/>
    </row>
    <row r="1340">
      <c r="A1340" s="5">
        <v>1339.0</v>
      </c>
      <c r="B1340" s="5" t="s">
        <v>1735</v>
      </c>
      <c r="C1340" s="5" t="s">
        <v>1736</v>
      </c>
      <c r="D1340" s="6">
        <f>IFERROR(__xludf.DUMMYFUNCTION("SPLIT(MID(C1340,2,LEN(C1340)-2), "","")"),2618.0)</f>
        <v>2618</v>
      </c>
      <c r="E1340" s="7"/>
      <c r="F1340" s="7"/>
      <c r="G1340" s="2" t="str">
        <f t="array" ref="G1340">IF(ISBLANK(D1340), "", INDEX(Categories!$B:$B,MATCH(D1340,Categories!$A:$A,0)))</f>
        <v>Kitchen Cabinets &amp; Accessories</v>
      </c>
      <c r="H1340" s="7" t="str">
        <f t="array" ref="H1340">IF(ISBLANK(E1340), "", INDEX(Categories!$B:$B,MATCH(E1340,Categories!$A:$A,0)))</f>
        <v/>
      </c>
      <c r="I1340" s="7" t="str">
        <f t="array" ref="I1340">IF(ISBLANK(F1340), "", INDEX(Categories!$B:$B,MATCH(F1340,Categories!$A:$A,0)))</f>
        <v/>
      </c>
      <c r="J1340" s="4"/>
      <c r="K1340" s="4"/>
      <c r="L1340" s="4"/>
      <c r="M1340" s="4"/>
      <c r="N1340" s="4"/>
      <c r="O1340" s="4"/>
      <c r="P1340" s="4"/>
      <c r="Q1340" s="4"/>
    </row>
    <row r="1341">
      <c r="A1341" s="5">
        <v>1340.0</v>
      </c>
      <c r="B1341" s="5" t="s">
        <v>1737</v>
      </c>
      <c r="C1341" s="5" t="s">
        <v>1738</v>
      </c>
      <c r="D1341" s="6">
        <f>IFERROR(__xludf.DUMMYFUNCTION("SPLIT(MID(C1341,2,LEN(C1341)-2), "","")"),1010.0)</f>
        <v>1010</v>
      </c>
      <c r="E1341" s="7"/>
      <c r="F1341" s="7"/>
      <c r="G1341" s="2" t="str">
        <f t="array" ref="G1341">IF(ISBLANK(D1341), "", INDEX(Categories!$B:$B,MATCH(D1341,Categories!$A:$A,0)))</f>
        <v>Wireless Communication Products &amp; Services</v>
      </c>
      <c r="H1341" s="7" t="str">
        <f t="array" ref="H1341">IF(ISBLANK(E1341), "", INDEX(Categories!$B:$B,MATCH(E1341,Categories!$A:$A,0)))</f>
        <v/>
      </c>
      <c r="I1341" s="7" t="str">
        <f t="array" ref="I1341">IF(ISBLANK(F1341), "", INDEX(Categories!$B:$B,MATCH(F1341,Categories!$A:$A,0)))</f>
        <v/>
      </c>
      <c r="J1341" s="4"/>
      <c r="K1341" s="4"/>
      <c r="L1341" s="4"/>
      <c r="M1341" s="4"/>
      <c r="N1341" s="4"/>
      <c r="O1341" s="4"/>
      <c r="P1341" s="4"/>
      <c r="Q1341" s="4"/>
    </row>
    <row r="1342">
      <c r="A1342" s="5">
        <v>1341.0</v>
      </c>
      <c r="B1342" s="5" t="s">
        <v>1739</v>
      </c>
      <c r="C1342" s="5" t="s">
        <v>69</v>
      </c>
      <c r="D1342" s="6">
        <f>IFERROR(__xludf.DUMMYFUNCTION("SPLIT(MID(C1342,2,LEN(C1342)-2), "","")"),293.0)</f>
        <v>293</v>
      </c>
      <c r="E1342" s="7"/>
      <c r="F1342" s="7"/>
      <c r="G1342" s="2" t="str">
        <f t="array" ref="G1342">IF(ISBLANK(D1342), "", INDEX(Categories!$B:$B,MATCH(D1342,Categories!$A:$A,0)))</f>
        <v>Banks Commercial</v>
      </c>
      <c r="H1342" s="7" t="str">
        <f t="array" ref="H1342">IF(ISBLANK(E1342), "", INDEX(Categories!$B:$B,MATCH(E1342,Categories!$A:$A,0)))</f>
        <v/>
      </c>
      <c r="I1342" s="7" t="str">
        <f t="array" ref="I1342">IF(ISBLANK(F1342), "", INDEX(Categories!$B:$B,MATCH(F1342,Categories!$A:$A,0)))</f>
        <v/>
      </c>
      <c r="J1342" s="4"/>
      <c r="K1342" s="4"/>
      <c r="L1342" s="4"/>
      <c r="M1342" s="4"/>
      <c r="N1342" s="4"/>
      <c r="O1342" s="4"/>
      <c r="P1342" s="4"/>
      <c r="Q1342" s="4"/>
    </row>
    <row r="1343">
      <c r="A1343" s="5">
        <v>1342.0</v>
      </c>
      <c r="B1343" s="5" t="s">
        <v>1740</v>
      </c>
      <c r="C1343" s="5" t="s">
        <v>62</v>
      </c>
      <c r="D1343" s="6">
        <f>IFERROR(__xludf.DUMMYFUNCTION("SPLIT(MID(C1343,2,LEN(C1343)-2), "","")"),242.0)</f>
        <v>242</v>
      </c>
      <c r="E1343" s="7"/>
      <c r="F1343" s="7"/>
      <c r="G1343" s="2" t="str">
        <f t="array" ref="G1343">IF(ISBLANK(D1343), "", INDEX(Categories!$B:$B,MATCH(D1343,Categories!$A:$A,0)))</f>
        <v>Restaurants Pizza</v>
      </c>
      <c r="H1343" s="7" t="str">
        <f t="array" ref="H1343">IF(ISBLANK(E1343), "", INDEX(Categories!$B:$B,MATCH(E1343,Categories!$A:$A,0)))</f>
        <v/>
      </c>
      <c r="I1343" s="7" t="str">
        <f t="array" ref="I1343">IF(ISBLANK(F1343), "", INDEX(Categories!$B:$B,MATCH(F1343,Categories!$A:$A,0)))</f>
        <v/>
      </c>
      <c r="J1343" s="4"/>
      <c r="K1343" s="4"/>
      <c r="L1343" s="4"/>
      <c r="M1343" s="4"/>
      <c r="N1343" s="4"/>
      <c r="O1343" s="4"/>
      <c r="P1343" s="4"/>
      <c r="Q1343" s="4"/>
    </row>
    <row r="1344">
      <c r="A1344" s="5">
        <v>1343.0</v>
      </c>
      <c r="B1344" s="5" t="s">
        <v>1741</v>
      </c>
      <c r="C1344" s="5" t="s">
        <v>1742</v>
      </c>
      <c r="D1344" s="6">
        <f>IFERROR(__xludf.DUMMYFUNCTION("SPLIT(MID(C1344,2,LEN(C1344)-2), "","")"),2622.0)</f>
        <v>2622</v>
      </c>
      <c r="E1344" s="7"/>
      <c r="F1344" s="7"/>
      <c r="G1344" s="2" t="str">
        <f t="array" ref="G1344">IF(ISBLANK(D1344), "", INDEX(Categories!$B:$B,MATCH(D1344,Categories!$A:$A,0)))</f>
        <v>Car Washing &amp; Polishing</v>
      </c>
      <c r="H1344" s="7" t="str">
        <f t="array" ref="H1344">IF(ISBLANK(E1344), "", INDEX(Categories!$B:$B,MATCH(E1344,Categories!$A:$A,0)))</f>
        <v/>
      </c>
      <c r="I1344" s="7" t="str">
        <f t="array" ref="I1344">IF(ISBLANK(F1344), "", INDEX(Categories!$B:$B,MATCH(F1344,Categories!$A:$A,0)))</f>
        <v/>
      </c>
      <c r="J1344" s="4"/>
      <c r="K1344" s="4"/>
      <c r="L1344" s="4"/>
      <c r="M1344" s="4"/>
      <c r="N1344" s="4"/>
      <c r="O1344" s="4"/>
      <c r="P1344" s="4"/>
      <c r="Q1344" s="4"/>
    </row>
    <row r="1345">
      <c r="A1345" s="5">
        <v>1344.0</v>
      </c>
      <c r="B1345" s="5" t="s">
        <v>1743</v>
      </c>
      <c r="C1345" s="5" t="s">
        <v>28</v>
      </c>
      <c r="D1345" s="6">
        <f>IFERROR(__xludf.DUMMYFUNCTION("SPLIT(MID(C1345,2,LEN(C1345)-2), "","")"),1197.0)</f>
        <v>1197</v>
      </c>
      <c r="E1345" s="7"/>
      <c r="F1345" s="7"/>
      <c r="G1345" s="2" t="str">
        <f t="array" ref="G1345">IF(ISBLANK(D1345), "", INDEX(Categories!$B:$B,MATCH(D1345,Categories!$A:$A,0)))</f>
        <v>Public &amp; Social Services</v>
      </c>
      <c r="H1345" s="7" t="str">
        <f t="array" ref="H1345">IF(ISBLANK(E1345), "", INDEX(Categories!$B:$B,MATCH(E1345,Categories!$A:$A,0)))</f>
        <v/>
      </c>
      <c r="I1345" s="7" t="str">
        <f t="array" ref="I1345">IF(ISBLANK(F1345), "", INDEX(Categories!$B:$B,MATCH(F1345,Categories!$A:$A,0)))</f>
        <v/>
      </c>
      <c r="J1345" s="4"/>
      <c r="K1345" s="4"/>
      <c r="L1345" s="4"/>
      <c r="M1345" s="4"/>
      <c r="N1345" s="4"/>
      <c r="O1345" s="4"/>
      <c r="P1345" s="4"/>
      <c r="Q1345" s="4"/>
    </row>
    <row r="1346">
      <c r="A1346" s="5">
        <v>1345.0</v>
      </c>
      <c r="B1346" s="5" t="s">
        <v>1744</v>
      </c>
      <c r="C1346" s="5" t="s">
        <v>1282</v>
      </c>
      <c r="D1346" s="6">
        <f>IFERROR(__xludf.DUMMYFUNCTION("SPLIT(MID(C1346,2,LEN(C1346)-2), "","")"),718.0)</f>
        <v>718</v>
      </c>
      <c r="E1346" s="7"/>
      <c r="F1346" s="7"/>
      <c r="G1346" s="2" t="str">
        <f t="array" ref="G1346">IF(ISBLANK(D1346), "", INDEX(Categories!$B:$B,MATCH(D1346,Categories!$A:$A,0)))</f>
        <v>Computer &amp; Computer Equipment Service &amp; Repair</v>
      </c>
      <c r="H1346" s="7" t="str">
        <f t="array" ref="H1346">IF(ISBLANK(E1346), "", INDEX(Categories!$B:$B,MATCH(E1346,Categories!$A:$A,0)))</f>
        <v/>
      </c>
      <c r="I1346" s="7" t="str">
        <f t="array" ref="I1346">IF(ISBLANK(F1346), "", INDEX(Categories!$B:$B,MATCH(F1346,Categories!$A:$A,0)))</f>
        <v/>
      </c>
      <c r="J1346" s="4"/>
      <c r="K1346" s="4"/>
      <c r="L1346" s="4"/>
      <c r="M1346" s="4"/>
      <c r="N1346" s="4"/>
      <c r="O1346" s="4"/>
      <c r="P1346" s="4"/>
      <c r="Q1346" s="4"/>
    </row>
    <row r="1347">
      <c r="A1347" s="5">
        <v>1346.0</v>
      </c>
      <c r="B1347" s="5" t="s">
        <v>1745</v>
      </c>
      <c r="C1347" s="5" t="s">
        <v>12</v>
      </c>
      <c r="D1347" s="6">
        <f>IFERROR(__xludf.DUMMYFUNCTION("SPLIT(MID(C1347,2,LEN(C1347)-2), "","")"),469.0)</f>
        <v>469</v>
      </c>
      <c r="E1347" s="7"/>
      <c r="F1347" s="7"/>
      <c r="G1347" s="2" t="str">
        <f t="array" ref="G1347">IF(ISBLANK(D1347), "", INDEX(Categories!$B:$B,MATCH(D1347,Categories!$A:$A,0)))</f>
        <v>Automobile - Repairs &amp; Services</v>
      </c>
      <c r="H1347" s="7" t="str">
        <f t="array" ref="H1347">IF(ISBLANK(E1347), "", INDEX(Categories!$B:$B,MATCH(E1347,Categories!$A:$A,0)))</f>
        <v/>
      </c>
      <c r="I1347" s="7" t="str">
        <f t="array" ref="I1347">IF(ISBLANK(F1347), "", INDEX(Categories!$B:$B,MATCH(F1347,Categories!$A:$A,0)))</f>
        <v/>
      </c>
      <c r="J1347" s="4"/>
      <c r="K1347" s="4"/>
      <c r="L1347" s="4"/>
      <c r="M1347" s="4"/>
      <c r="N1347" s="4"/>
      <c r="O1347" s="4"/>
      <c r="P1347" s="4"/>
      <c r="Q1347" s="4"/>
    </row>
    <row r="1348">
      <c r="A1348" s="5">
        <v>1347.0</v>
      </c>
      <c r="B1348" s="5" t="s">
        <v>1746</v>
      </c>
      <c r="C1348" s="5" t="s">
        <v>102</v>
      </c>
      <c r="D1348" s="6">
        <f>IFERROR(__xludf.DUMMYFUNCTION("SPLIT(MID(C1348,2,LEN(C1348)-2), "","")"),298.0)</f>
        <v>298</v>
      </c>
      <c r="E1348" s="7"/>
      <c r="F1348" s="7"/>
      <c r="G1348" s="2" t="str">
        <f t="array" ref="G1348">IF(ISBLANK(D1348), "", INDEX(Categories!$B:$B,MATCH(D1348,Categories!$A:$A,0)))</f>
        <v>Financial Services</v>
      </c>
      <c r="H1348" s="7" t="str">
        <f t="array" ref="H1348">IF(ISBLANK(E1348), "", INDEX(Categories!$B:$B,MATCH(E1348,Categories!$A:$A,0)))</f>
        <v/>
      </c>
      <c r="I1348" s="7" t="str">
        <f t="array" ref="I1348">IF(ISBLANK(F1348), "", INDEX(Categories!$B:$B,MATCH(F1348,Categories!$A:$A,0)))</f>
        <v/>
      </c>
      <c r="J1348" s="4"/>
      <c r="K1348" s="4"/>
      <c r="L1348" s="4"/>
      <c r="M1348" s="4"/>
      <c r="N1348" s="4"/>
      <c r="O1348" s="4"/>
      <c r="P1348" s="4"/>
      <c r="Q1348" s="4"/>
    </row>
    <row r="1349">
      <c r="A1349" s="5">
        <v>1348.0</v>
      </c>
      <c r="B1349" s="5" t="s">
        <v>1747</v>
      </c>
      <c r="C1349" s="5" t="s">
        <v>87</v>
      </c>
      <c r="D1349" s="6">
        <f>IFERROR(__xludf.DUMMYFUNCTION("SPLIT(MID(C1349,2,LEN(C1349)-2), "","")"),168.0)</f>
        <v>168</v>
      </c>
      <c r="E1349" s="7"/>
      <c r="F1349" s="7"/>
      <c r="G1349" s="2" t="str">
        <f t="array" ref="G1349">IF(ISBLANK(D1349), "", INDEX(Categories!$B:$B,MATCH(D1349,Categories!$A:$A,0)))</f>
        <v>Hotels &amp; Motels</v>
      </c>
      <c r="H1349" s="7" t="str">
        <f t="array" ref="H1349">IF(ISBLANK(E1349), "", INDEX(Categories!$B:$B,MATCH(E1349,Categories!$A:$A,0)))</f>
        <v/>
      </c>
      <c r="I1349" s="7" t="str">
        <f t="array" ref="I1349">IF(ISBLANK(F1349), "", INDEX(Categories!$B:$B,MATCH(F1349,Categories!$A:$A,0)))</f>
        <v/>
      </c>
      <c r="J1349" s="4"/>
      <c r="K1349" s="4"/>
      <c r="L1349" s="4"/>
      <c r="M1349" s="4"/>
      <c r="N1349" s="4"/>
      <c r="O1349" s="4"/>
      <c r="P1349" s="4"/>
      <c r="Q1349" s="4"/>
    </row>
    <row r="1350">
      <c r="A1350" s="5">
        <v>1349.0</v>
      </c>
      <c r="B1350" s="5" t="s">
        <v>1748</v>
      </c>
      <c r="C1350" s="5" t="s">
        <v>1600</v>
      </c>
      <c r="D1350" s="6">
        <f>IFERROR(__xludf.DUMMYFUNCTION("SPLIT(MID(C1350,2,LEN(C1350)-2), "","")"),2595.0)</f>
        <v>2595</v>
      </c>
      <c r="E1350" s="7"/>
      <c r="F1350" s="7"/>
      <c r="G1350" s="2" t="str">
        <f t="array" ref="G1350">IF(ISBLANK(D1350), "", INDEX(Categories!$B:$B,MATCH(D1350,Categories!$A:$A,0)))</f>
        <v>Health &amp; Fitness Clubs</v>
      </c>
      <c r="H1350" s="7" t="str">
        <f t="array" ref="H1350">IF(ISBLANK(E1350), "", INDEX(Categories!$B:$B,MATCH(E1350,Categories!$A:$A,0)))</f>
        <v/>
      </c>
      <c r="I1350" s="7" t="str">
        <f t="array" ref="I1350">IF(ISBLANK(F1350), "", INDEX(Categories!$B:$B,MATCH(F1350,Categories!$A:$A,0)))</f>
        <v/>
      </c>
      <c r="J1350" s="4"/>
      <c r="K1350" s="4"/>
      <c r="L1350" s="4"/>
      <c r="M1350" s="4"/>
      <c r="N1350" s="4"/>
      <c r="O1350" s="4"/>
      <c r="P1350" s="4"/>
      <c r="Q1350" s="4"/>
    </row>
    <row r="1351">
      <c r="A1351" s="5">
        <v>1350.0</v>
      </c>
      <c r="B1351" s="5" t="s">
        <v>1749</v>
      </c>
      <c r="C1351" s="5" t="s">
        <v>152</v>
      </c>
      <c r="D1351" s="6">
        <f>IFERROR(__xludf.DUMMYFUNCTION("SPLIT(MID(C1351,2,LEN(C1351)-2), "","")"),1183.0)</f>
        <v>1183</v>
      </c>
      <c r="E1351" s="7"/>
      <c r="F1351" s="7"/>
      <c r="G1351" s="2" t="str">
        <f t="array" ref="G1351">IF(ISBLANK(D1351), "", INDEX(Categories!$B:$B,MATCH(D1351,Categories!$A:$A,0)))</f>
        <v>Shipping Services</v>
      </c>
      <c r="H1351" s="7" t="str">
        <f t="array" ref="H1351">IF(ISBLANK(E1351), "", INDEX(Categories!$B:$B,MATCH(E1351,Categories!$A:$A,0)))</f>
        <v/>
      </c>
      <c r="I1351" s="7" t="str">
        <f t="array" ref="I1351">IF(ISBLANK(F1351), "", INDEX(Categories!$B:$B,MATCH(F1351,Categories!$A:$A,0)))</f>
        <v/>
      </c>
      <c r="J1351" s="4"/>
      <c r="K1351" s="4"/>
      <c r="L1351" s="4"/>
      <c r="M1351" s="4"/>
      <c r="N1351" s="4"/>
      <c r="O1351" s="4"/>
      <c r="P1351" s="4"/>
      <c r="Q1351" s="4"/>
    </row>
    <row r="1352">
      <c r="A1352" s="5">
        <v>1351.0</v>
      </c>
      <c r="B1352" s="5" t="s">
        <v>1750</v>
      </c>
      <c r="C1352" s="5" t="s">
        <v>1751</v>
      </c>
      <c r="D1352" s="6">
        <f>IFERROR(__xludf.DUMMYFUNCTION("SPLIT(MID(C1352,2,LEN(C1352)-2), "","")"),2252.0)</f>
        <v>2252</v>
      </c>
      <c r="E1352" s="7"/>
      <c r="F1352" s="7"/>
      <c r="G1352" s="2" t="str">
        <f t="array" ref="G1352">IF(ISBLANK(D1352), "", INDEX(Categories!$B:$B,MATCH(D1352,Categories!$A:$A,0)))</f>
        <v>Drinking Water Distributors</v>
      </c>
      <c r="H1352" s="7" t="str">
        <f t="array" ref="H1352">IF(ISBLANK(E1352), "", INDEX(Categories!$B:$B,MATCH(E1352,Categories!$A:$A,0)))</f>
        <v/>
      </c>
      <c r="I1352" s="7" t="str">
        <f t="array" ref="I1352">IF(ISBLANK(F1352), "", INDEX(Categories!$B:$B,MATCH(F1352,Categories!$A:$A,0)))</f>
        <v/>
      </c>
      <c r="J1352" s="4"/>
      <c r="K1352" s="4"/>
      <c r="L1352" s="4"/>
      <c r="M1352" s="4"/>
      <c r="N1352" s="4"/>
      <c r="O1352" s="4"/>
      <c r="P1352" s="4"/>
      <c r="Q1352" s="4"/>
    </row>
    <row r="1353">
      <c r="A1353" s="5">
        <v>1352.0</v>
      </c>
      <c r="B1353" s="5" t="s">
        <v>1752</v>
      </c>
      <c r="C1353" s="5" t="s">
        <v>1116</v>
      </c>
      <c r="D1353" s="6">
        <f>IFERROR(__xludf.DUMMYFUNCTION("SPLIT(MID(C1353,2,LEN(C1353)-2), "","")"),1055.0)</f>
        <v>1055</v>
      </c>
      <c r="E1353" s="7"/>
      <c r="F1353" s="7"/>
      <c r="G1353" s="2" t="str">
        <f t="array" ref="G1353">IF(ISBLANK(D1353), "", INDEX(Categories!$B:$B,MATCH(D1353,Categories!$A:$A,0)))</f>
        <v>Contractor Equipment &amp; Supplies Dealers &amp; Service</v>
      </c>
      <c r="H1353" s="7" t="str">
        <f t="array" ref="H1353">IF(ISBLANK(E1353), "", INDEX(Categories!$B:$B,MATCH(E1353,Categories!$A:$A,0)))</f>
        <v/>
      </c>
      <c r="I1353" s="7" t="str">
        <f t="array" ref="I1353">IF(ISBLANK(F1353), "", INDEX(Categories!$B:$B,MATCH(F1353,Categories!$A:$A,0)))</f>
        <v/>
      </c>
      <c r="J1353" s="4"/>
      <c r="K1353" s="4"/>
      <c r="L1353" s="4"/>
      <c r="M1353" s="4"/>
      <c r="N1353" s="4"/>
      <c r="O1353" s="4"/>
      <c r="P1353" s="4"/>
      <c r="Q1353" s="4"/>
    </row>
    <row r="1354">
      <c r="A1354" s="5">
        <v>1353.0</v>
      </c>
      <c r="B1354" s="5" t="s">
        <v>1753</v>
      </c>
      <c r="C1354" s="5" t="s">
        <v>62</v>
      </c>
      <c r="D1354" s="6">
        <f>IFERROR(__xludf.DUMMYFUNCTION("SPLIT(MID(C1354,2,LEN(C1354)-2), "","")"),242.0)</f>
        <v>242</v>
      </c>
      <c r="E1354" s="7"/>
      <c r="F1354" s="7"/>
      <c r="G1354" s="2" t="str">
        <f t="array" ref="G1354">IF(ISBLANK(D1354), "", INDEX(Categories!$B:$B,MATCH(D1354,Categories!$A:$A,0)))</f>
        <v>Restaurants Pizza</v>
      </c>
      <c r="H1354" s="7" t="str">
        <f t="array" ref="H1354">IF(ISBLANK(E1354), "", INDEX(Categories!$B:$B,MATCH(E1354,Categories!$A:$A,0)))</f>
        <v/>
      </c>
      <c r="I1354" s="7" t="str">
        <f t="array" ref="I1354">IF(ISBLANK(F1354), "", INDEX(Categories!$B:$B,MATCH(F1354,Categories!$A:$A,0)))</f>
        <v/>
      </c>
      <c r="J1354" s="4"/>
      <c r="K1354" s="4"/>
      <c r="L1354" s="4"/>
      <c r="M1354" s="4"/>
      <c r="N1354" s="4"/>
      <c r="O1354" s="4"/>
      <c r="P1354" s="4"/>
      <c r="Q1354" s="4"/>
    </row>
    <row r="1355">
      <c r="A1355" s="5">
        <v>1354.0</v>
      </c>
      <c r="B1355" s="5" t="s">
        <v>1754</v>
      </c>
      <c r="C1355" s="5" t="s">
        <v>62</v>
      </c>
      <c r="D1355" s="6">
        <f>IFERROR(__xludf.DUMMYFUNCTION("SPLIT(MID(C1355,2,LEN(C1355)-2), "","")"),242.0)</f>
        <v>242</v>
      </c>
      <c r="E1355" s="7"/>
      <c r="F1355" s="7"/>
      <c r="G1355" s="2" t="str">
        <f t="array" ref="G1355">IF(ISBLANK(D1355), "", INDEX(Categories!$B:$B,MATCH(D1355,Categories!$A:$A,0)))</f>
        <v>Restaurants Pizza</v>
      </c>
      <c r="H1355" s="7" t="str">
        <f t="array" ref="H1355">IF(ISBLANK(E1355), "", INDEX(Categories!$B:$B,MATCH(E1355,Categories!$A:$A,0)))</f>
        <v/>
      </c>
      <c r="I1355" s="7" t="str">
        <f t="array" ref="I1355">IF(ISBLANK(F1355), "", INDEX(Categories!$B:$B,MATCH(F1355,Categories!$A:$A,0)))</f>
        <v/>
      </c>
      <c r="J1355" s="4"/>
      <c r="K1355" s="4"/>
      <c r="L1355" s="4"/>
      <c r="M1355" s="4"/>
      <c r="N1355" s="4"/>
      <c r="O1355" s="4"/>
      <c r="P1355" s="4"/>
      <c r="Q1355" s="4"/>
    </row>
    <row r="1356">
      <c r="A1356" s="5">
        <v>1355.0</v>
      </c>
      <c r="B1356" s="5" t="s">
        <v>1755</v>
      </c>
      <c r="C1356" s="5" t="s">
        <v>801</v>
      </c>
      <c r="D1356" s="6">
        <f>IFERROR(__xludf.DUMMYFUNCTION("SPLIT(MID(C1356,2,LEN(C1356)-2), "","")"),1886.0)</f>
        <v>1886</v>
      </c>
      <c r="E1356" s="7"/>
      <c r="F1356" s="7"/>
      <c r="G1356" s="2" t="str">
        <f t="array" ref="G1356">IF(ISBLANK(D1356), "", INDEX(Categories!$B:$B,MATCH(D1356,Categories!$A:$A,0)))</f>
        <v>Pet Shops</v>
      </c>
      <c r="H1356" s="7" t="str">
        <f t="array" ref="H1356">IF(ISBLANK(E1356), "", INDEX(Categories!$B:$B,MATCH(E1356,Categories!$A:$A,0)))</f>
        <v/>
      </c>
      <c r="I1356" s="7" t="str">
        <f t="array" ref="I1356">IF(ISBLANK(F1356), "", INDEX(Categories!$B:$B,MATCH(F1356,Categories!$A:$A,0)))</f>
        <v/>
      </c>
      <c r="J1356" s="4"/>
      <c r="K1356" s="4"/>
      <c r="L1356" s="4"/>
      <c r="M1356" s="4"/>
      <c r="N1356" s="4"/>
      <c r="O1356" s="4"/>
      <c r="P1356" s="4"/>
      <c r="Q1356" s="4"/>
    </row>
    <row r="1357">
      <c r="A1357" s="5">
        <v>1356.0</v>
      </c>
      <c r="B1357" s="5" t="s">
        <v>1756</v>
      </c>
      <c r="C1357" s="5" t="s">
        <v>428</v>
      </c>
      <c r="D1357" s="6">
        <f>IFERROR(__xludf.DUMMYFUNCTION("SPLIT(MID(C1357,2,LEN(C1357)-2), "","")"),558.0)</f>
        <v>558</v>
      </c>
      <c r="E1357" s="7"/>
      <c r="F1357" s="7"/>
      <c r="G1357" s="2" t="str">
        <f t="array" ref="G1357">IF(ISBLANK(D1357), "", INDEX(Categories!$B:$B,MATCH(D1357,Categories!$A:$A,0)))</f>
        <v>Employment Agencies</v>
      </c>
      <c r="H1357" s="7" t="str">
        <f t="array" ref="H1357">IF(ISBLANK(E1357), "", INDEX(Categories!$B:$B,MATCH(E1357,Categories!$A:$A,0)))</f>
        <v/>
      </c>
      <c r="I1357" s="7" t="str">
        <f t="array" ref="I1357">IF(ISBLANK(F1357), "", INDEX(Categories!$B:$B,MATCH(F1357,Categories!$A:$A,0)))</f>
        <v/>
      </c>
      <c r="J1357" s="4"/>
      <c r="K1357" s="4"/>
      <c r="L1357" s="4"/>
      <c r="M1357" s="4"/>
      <c r="N1357" s="4"/>
      <c r="O1357" s="4"/>
      <c r="P1357" s="4"/>
      <c r="Q1357" s="4"/>
    </row>
    <row r="1358">
      <c r="A1358" s="5">
        <v>1357.0</v>
      </c>
      <c r="B1358" s="5" t="s">
        <v>1757</v>
      </c>
      <c r="C1358" s="5" t="s">
        <v>1006</v>
      </c>
      <c r="D1358" s="6">
        <f>IFERROR(__xludf.DUMMYFUNCTION("SPLIT(MID(C1358,2,LEN(C1358)-2), "","")"),1808.0)</f>
        <v>1808</v>
      </c>
      <c r="E1358" s="7"/>
      <c r="F1358" s="7"/>
      <c r="G1358" s="2" t="str">
        <f t="array" ref="G1358">IF(ISBLANK(D1358), "", INDEX(Categories!$B:$B,MATCH(D1358,Categories!$A:$A,0)))</f>
        <v>Coffee Houses</v>
      </c>
      <c r="H1358" s="7" t="str">
        <f t="array" ref="H1358">IF(ISBLANK(E1358), "", INDEX(Categories!$B:$B,MATCH(E1358,Categories!$A:$A,0)))</f>
        <v/>
      </c>
      <c r="I1358" s="7" t="str">
        <f t="array" ref="I1358">IF(ISBLANK(F1358), "", INDEX(Categories!$B:$B,MATCH(F1358,Categories!$A:$A,0)))</f>
        <v/>
      </c>
      <c r="J1358" s="4"/>
      <c r="K1358" s="4"/>
      <c r="L1358" s="4"/>
      <c r="M1358" s="4"/>
      <c r="N1358" s="4"/>
      <c r="O1358" s="4"/>
      <c r="P1358" s="4"/>
      <c r="Q1358" s="4"/>
    </row>
    <row r="1359">
      <c r="A1359" s="5">
        <v>1358.0</v>
      </c>
      <c r="B1359" s="5" t="s">
        <v>1758</v>
      </c>
      <c r="C1359" s="5" t="s">
        <v>1759</v>
      </c>
      <c r="D1359" s="6">
        <f>IFERROR(__xludf.DUMMYFUNCTION("SPLIT(MID(C1359,2,LEN(C1359)-2), "","")"),2697.0)</f>
        <v>2697</v>
      </c>
      <c r="E1359" s="7"/>
      <c r="F1359" s="7"/>
      <c r="G1359" s="2" t="str">
        <f t="array" ref="G1359">IF(ISBLANK(D1359), "", INDEX(Categories!$B:$B,MATCH(D1359,Categories!$A:$A,0)))</f>
        <v>Closet Designing &amp; Remodeling</v>
      </c>
      <c r="H1359" s="7" t="str">
        <f t="array" ref="H1359">IF(ISBLANK(E1359), "", INDEX(Categories!$B:$B,MATCH(E1359,Categories!$A:$A,0)))</f>
        <v/>
      </c>
      <c r="I1359" s="7" t="str">
        <f t="array" ref="I1359">IF(ISBLANK(F1359), "", INDEX(Categories!$B:$B,MATCH(F1359,Categories!$A:$A,0)))</f>
        <v/>
      </c>
      <c r="J1359" s="4"/>
      <c r="K1359" s="4"/>
      <c r="L1359" s="4"/>
      <c r="M1359" s="4"/>
      <c r="N1359" s="4"/>
      <c r="O1359" s="4"/>
      <c r="P1359" s="4"/>
      <c r="Q1359" s="4"/>
    </row>
    <row r="1360">
      <c r="A1360" s="5">
        <v>1359.0</v>
      </c>
      <c r="B1360" s="5" t="s">
        <v>1760</v>
      </c>
      <c r="C1360" s="5" t="s">
        <v>1761</v>
      </c>
      <c r="D1360" s="6">
        <f>IFERROR(__xludf.DUMMYFUNCTION("SPLIT(MID(C1360,2,LEN(C1360)-2), "","")"),2640.0)</f>
        <v>2640</v>
      </c>
      <c r="E1360" s="7"/>
      <c r="F1360" s="7"/>
      <c r="G1360" s="2" t="str">
        <f t="array" ref="G1360">IF(ISBLANK(D1360), "", INDEX(Categories!$B:$B,MATCH(D1360,Categories!$A:$A,0)))</f>
        <v>Christmas Lights &amp; Decorations Retail</v>
      </c>
      <c r="H1360" s="7" t="str">
        <f t="array" ref="H1360">IF(ISBLANK(E1360), "", INDEX(Categories!$B:$B,MATCH(E1360,Categories!$A:$A,0)))</f>
        <v/>
      </c>
      <c r="I1360" s="7" t="str">
        <f t="array" ref="I1360">IF(ISBLANK(F1360), "", INDEX(Categories!$B:$B,MATCH(F1360,Categories!$A:$A,0)))</f>
        <v/>
      </c>
      <c r="J1360" s="4"/>
      <c r="K1360" s="4"/>
      <c r="L1360" s="4"/>
      <c r="M1360" s="4"/>
      <c r="N1360" s="4"/>
      <c r="O1360" s="4"/>
      <c r="P1360" s="4"/>
      <c r="Q1360" s="4"/>
    </row>
    <row r="1361">
      <c r="A1361" s="5">
        <v>1360.0</v>
      </c>
      <c r="B1361" s="5" t="s">
        <v>1762</v>
      </c>
      <c r="C1361" s="5" t="s">
        <v>1282</v>
      </c>
      <c r="D1361" s="6">
        <f>IFERROR(__xludf.DUMMYFUNCTION("SPLIT(MID(C1361,2,LEN(C1361)-2), "","")"),718.0)</f>
        <v>718</v>
      </c>
      <c r="E1361" s="7"/>
      <c r="F1361" s="7"/>
      <c r="G1361" s="2" t="str">
        <f t="array" ref="G1361">IF(ISBLANK(D1361), "", INDEX(Categories!$B:$B,MATCH(D1361,Categories!$A:$A,0)))</f>
        <v>Computer &amp; Computer Equipment Service &amp; Repair</v>
      </c>
      <c r="H1361" s="7" t="str">
        <f t="array" ref="H1361">IF(ISBLANK(E1361), "", INDEX(Categories!$B:$B,MATCH(E1361,Categories!$A:$A,0)))</f>
        <v/>
      </c>
      <c r="I1361" s="7" t="str">
        <f t="array" ref="I1361">IF(ISBLANK(F1361), "", INDEX(Categories!$B:$B,MATCH(F1361,Categories!$A:$A,0)))</f>
        <v/>
      </c>
      <c r="J1361" s="4"/>
      <c r="K1361" s="4"/>
      <c r="L1361" s="4"/>
      <c r="M1361" s="4"/>
      <c r="N1361" s="4"/>
      <c r="O1361" s="4"/>
      <c r="P1361" s="4"/>
      <c r="Q1361" s="4"/>
    </row>
    <row r="1362">
      <c r="A1362" s="5">
        <v>1361.0</v>
      </c>
      <c r="B1362" s="5" t="s">
        <v>1763</v>
      </c>
      <c r="C1362" s="5" t="s">
        <v>1764</v>
      </c>
      <c r="D1362" s="6">
        <f>IFERROR(__xludf.DUMMYFUNCTION("SPLIT(MID(C1362,2,LEN(C1362)-2), "","")"),1618.0)</f>
        <v>1618</v>
      </c>
      <c r="E1362" s="7"/>
      <c r="F1362" s="7"/>
      <c r="G1362" s="2" t="str">
        <f t="array" ref="G1362">IF(ISBLANK(D1362), "", INDEX(Categories!$B:$B,MATCH(D1362,Categories!$A:$A,0)))</f>
        <v>General Merchandise Retail</v>
      </c>
      <c r="H1362" s="7" t="str">
        <f t="array" ref="H1362">IF(ISBLANK(E1362), "", INDEX(Categories!$B:$B,MATCH(E1362,Categories!$A:$A,0)))</f>
        <v/>
      </c>
      <c r="I1362" s="7" t="str">
        <f t="array" ref="I1362">IF(ISBLANK(F1362), "", INDEX(Categories!$B:$B,MATCH(F1362,Categories!$A:$A,0)))</f>
        <v/>
      </c>
      <c r="J1362" s="4"/>
      <c r="K1362" s="4"/>
      <c r="L1362" s="4"/>
      <c r="M1362" s="4"/>
      <c r="N1362" s="4"/>
      <c r="O1362" s="4"/>
      <c r="P1362" s="4"/>
      <c r="Q1362" s="4"/>
    </row>
    <row r="1363">
      <c r="A1363" s="5">
        <v>1362.0</v>
      </c>
      <c r="B1363" s="5" t="s">
        <v>1765</v>
      </c>
      <c r="C1363" s="5" t="s">
        <v>1766</v>
      </c>
      <c r="D1363" s="6">
        <f>IFERROR(__xludf.DUMMYFUNCTION("SPLIT(MID(C1363,2,LEN(C1363)-2), "","")"),2502.0)</f>
        <v>2502</v>
      </c>
      <c r="E1363" s="7"/>
      <c r="F1363" s="7"/>
      <c r="G1363" s="2" t="str">
        <f t="array" ref="G1363">IF(ISBLANK(D1363), "", INDEX(Categories!$B:$B,MATCH(D1363,Categories!$A:$A,0)))</f>
        <v>Weight Control Service</v>
      </c>
      <c r="H1363" s="7" t="str">
        <f t="array" ref="H1363">IF(ISBLANK(E1363), "", INDEX(Categories!$B:$B,MATCH(E1363,Categories!$A:$A,0)))</f>
        <v/>
      </c>
      <c r="I1363" s="7" t="str">
        <f t="array" ref="I1363">IF(ISBLANK(F1363), "", INDEX(Categories!$B:$B,MATCH(F1363,Categories!$A:$A,0)))</f>
        <v/>
      </c>
      <c r="J1363" s="4"/>
      <c r="K1363" s="4"/>
      <c r="L1363" s="4"/>
      <c r="M1363" s="4"/>
      <c r="N1363" s="4"/>
      <c r="O1363" s="4"/>
      <c r="P1363" s="4"/>
      <c r="Q1363" s="4"/>
    </row>
    <row r="1364">
      <c r="A1364" s="5">
        <v>1363.0</v>
      </c>
      <c r="B1364" s="5" t="s">
        <v>1767</v>
      </c>
      <c r="C1364" s="5" t="s">
        <v>1407</v>
      </c>
      <c r="D1364" s="6">
        <f>IFERROR(__xludf.DUMMYFUNCTION("SPLIT(MID(C1364,2,LEN(C1364)-2), "","")"),2876.0)</f>
        <v>2876</v>
      </c>
      <c r="E1364" s="7"/>
      <c r="F1364" s="7"/>
      <c r="G1364" s="2" t="str">
        <f t="array" ref="G1364">IF(ISBLANK(D1364), "", INDEX(Categories!$B:$B,MATCH(D1364,Categories!$A:$A,0)))</f>
        <v>Inspection Services</v>
      </c>
      <c r="H1364" s="7" t="str">
        <f t="array" ref="H1364">IF(ISBLANK(E1364), "", INDEX(Categories!$B:$B,MATCH(E1364,Categories!$A:$A,0)))</f>
        <v/>
      </c>
      <c r="I1364" s="7" t="str">
        <f t="array" ref="I1364">IF(ISBLANK(F1364), "", INDEX(Categories!$B:$B,MATCH(F1364,Categories!$A:$A,0)))</f>
        <v/>
      </c>
      <c r="J1364" s="4"/>
      <c r="K1364" s="4"/>
      <c r="L1364" s="4"/>
      <c r="M1364" s="4"/>
      <c r="N1364" s="4"/>
      <c r="O1364" s="4"/>
      <c r="P1364" s="4"/>
      <c r="Q1364" s="4"/>
    </row>
    <row r="1365">
      <c r="A1365" s="5">
        <v>1364.0</v>
      </c>
      <c r="B1365" s="5" t="s">
        <v>1768</v>
      </c>
      <c r="C1365" s="5" t="s">
        <v>1478</v>
      </c>
      <c r="D1365" s="6">
        <f>IFERROR(__xludf.DUMMYFUNCTION("SPLIT(MID(C1365,2,LEN(C1365)-2), "","")"),1990.0)</f>
        <v>1990</v>
      </c>
      <c r="E1365" s="7"/>
      <c r="F1365" s="7"/>
      <c r="G1365" s="2" t="str">
        <f t="array" ref="G1365">IF(ISBLANK(D1365), "", INDEX(Categories!$B:$B,MATCH(D1365,Categories!$A:$A,0)))</f>
        <v>Schools Private</v>
      </c>
      <c r="H1365" s="7" t="str">
        <f t="array" ref="H1365">IF(ISBLANK(E1365), "", INDEX(Categories!$B:$B,MATCH(E1365,Categories!$A:$A,0)))</f>
        <v/>
      </c>
      <c r="I1365" s="7" t="str">
        <f t="array" ref="I1365">IF(ISBLANK(F1365), "", INDEX(Categories!$B:$B,MATCH(F1365,Categories!$A:$A,0)))</f>
        <v/>
      </c>
      <c r="J1365" s="4"/>
      <c r="K1365" s="4"/>
      <c r="L1365" s="4"/>
      <c r="M1365" s="4"/>
      <c r="N1365" s="4"/>
      <c r="O1365" s="4"/>
      <c r="P1365" s="4"/>
      <c r="Q1365" s="4"/>
    </row>
    <row r="1366">
      <c r="A1366" s="5">
        <v>1365.0</v>
      </c>
      <c r="B1366" s="5" t="s">
        <v>1769</v>
      </c>
      <c r="C1366" s="5" t="s">
        <v>309</v>
      </c>
      <c r="D1366" s="6">
        <f>IFERROR(__xludf.DUMMYFUNCTION("SPLIT(MID(C1366,2,LEN(C1366)-2), "","")"),458.0)</f>
        <v>458</v>
      </c>
      <c r="E1366" s="7"/>
      <c r="F1366" s="7"/>
      <c r="G1366" s="2" t="str">
        <f t="array" ref="G1366">IF(ISBLANK(D1366), "", INDEX(Categories!$B:$B,MATCH(D1366,Categories!$A:$A,0)))</f>
        <v>Real Estate - Brokers &amp; Agents</v>
      </c>
      <c r="H1366" s="7" t="str">
        <f t="array" ref="H1366">IF(ISBLANK(E1366), "", INDEX(Categories!$B:$B,MATCH(E1366,Categories!$A:$A,0)))</f>
        <v/>
      </c>
      <c r="I1366" s="7" t="str">
        <f t="array" ref="I1366">IF(ISBLANK(F1366), "", INDEX(Categories!$B:$B,MATCH(F1366,Categories!$A:$A,0)))</f>
        <v/>
      </c>
      <c r="J1366" s="4"/>
      <c r="K1366" s="4"/>
      <c r="L1366" s="4"/>
      <c r="M1366" s="4"/>
      <c r="N1366" s="4"/>
      <c r="O1366" s="4"/>
      <c r="P1366" s="4"/>
      <c r="Q1366" s="4"/>
    </row>
    <row r="1367">
      <c r="A1367" s="5">
        <v>1366.0</v>
      </c>
      <c r="B1367" s="5" t="s">
        <v>1770</v>
      </c>
      <c r="C1367" s="5" t="s">
        <v>14</v>
      </c>
      <c r="D1367" s="6">
        <f>IFERROR(__xludf.DUMMYFUNCTION("SPLIT(MID(C1367,2,LEN(C1367)-2), "","")"),1065.0)</f>
        <v>1065</v>
      </c>
      <c r="E1367" s="7"/>
      <c r="F1367" s="7"/>
      <c r="G1367" s="2" t="str">
        <f t="array" ref="G1367">IF(ISBLANK(D1367), "", INDEX(Categories!$B:$B,MATCH(D1367,Categories!$A:$A,0)))</f>
        <v>Hardware</v>
      </c>
      <c r="H1367" s="7" t="str">
        <f t="array" ref="H1367">IF(ISBLANK(E1367), "", INDEX(Categories!$B:$B,MATCH(E1367,Categories!$A:$A,0)))</f>
        <v/>
      </c>
      <c r="I1367" s="7" t="str">
        <f t="array" ref="I1367">IF(ISBLANK(F1367), "", INDEX(Categories!$B:$B,MATCH(F1367,Categories!$A:$A,0)))</f>
        <v/>
      </c>
      <c r="J1367" s="4"/>
      <c r="K1367" s="4"/>
      <c r="L1367" s="4"/>
      <c r="M1367" s="4"/>
      <c r="N1367" s="4"/>
      <c r="O1367" s="4"/>
      <c r="P1367" s="4"/>
      <c r="Q1367" s="4"/>
    </row>
    <row r="1368">
      <c r="A1368" s="5">
        <v>1367.0</v>
      </c>
      <c r="B1368" s="5" t="s">
        <v>1771</v>
      </c>
      <c r="C1368" s="5" t="s">
        <v>1772</v>
      </c>
      <c r="D1368" s="6">
        <f>IFERROR(__xludf.DUMMYFUNCTION("SPLIT(MID(C1368,2,LEN(C1368)-2), "","")"),2764.0)</f>
        <v>2764</v>
      </c>
      <c r="E1368" s="7"/>
      <c r="F1368" s="7"/>
      <c r="G1368" s="2" t="str">
        <f t="array" ref="G1368">IF(ISBLANK(D1368), "", INDEX(Categories!$B:$B,MATCH(D1368,Categories!$A:$A,0)))</f>
        <v>Management Consultants</v>
      </c>
      <c r="H1368" s="7" t="str">
        <f t="array" ref="H1368">IF(ISBLANK(E1368), "", INDEX(Categories!$B:$B,MATCH(E1368,Categories!$A:$A,0)))</f>
        <v/>
      </c>
      <c r="I1368" s="7" t="str">
        <f t="array" ref="I1368">IF(ISBLANK(F1368), "", INDEX(Categories!$B:$B,MATCH(F1368,Categories!$A:$A,0)))</f>
        <v/>
      </c>
      <c r="J1368" s="4"/>
      <c r="K1368" s="4"/>
      <c r="L1368" s="4"/>
      <c r="M1368" s="4"/>
      <c r="N1368" s="4"/>
      <c r="O1368" s="4"/>
      <c r="P1368" s="4"/>
      <c r="Q1368" s="4"/>
    </row>
    <row r="1369">
      <c r="A1369" s="5">
        <v>1368.0</v>
      </c>
      <c r="B1369" s="5" t="s">
        <v>1773</v>
      </c>
      <c r="C1369" s="5" t="s">
        <v>1170</v>
      </c>
      <c r="D1369" s="6">
        <f>IFERROR(__xludf.DUMMYFUNCTION("SPLIT(MID(C1369,2,LEN(C1369)-2), "","")"),1783.0)</f>
        <v>1783</v>
      </c>
      <c r="E1369" s="7"/>
      <c r="F1369" s="7"/>
      <c r="G1369" s="2" t="str">
        <f t="array" ref="G1369">IF(ISBLANK(D1369), "", INDEX(Categories!$B:$B,MATCH(D1369,Categories!$A:$A,0)))</f>
        <v>Legal Services</v>
      </c>
      <c r="H1369" s="7" t="str">
        <f t="array" ref="H1369">IF(ISBLANK(E1369), "", INDEX(Categories!$B:$B,MATCH(E1369,Categories!$A:$A,0)))</f>
        <v/>
      </c>
      <c r="I1369" s="7" t="str">
        <f t="array" ref="I1369">IF(ISBLANK(F1369), "", INDEX(Categories!$B:$B,MATCH(F1369,Categories!$A:$A,0)))</f>
        <v/>
      </c>
      <c r="J1369" s="4"/>
      <c r="K1369" s="4"/>
      <c r="L1369" s="4"/>
      <c r="M1369" s="4"/>
      <c r="N1369" s="4"/>
      <c r="O1369" s="4"/>
      <c r="P1369" s="4"/>
      <c r="Q1369" s="4"/>
    </row>
    <row r="1370">
      <c r="A1370" s="5">
        <v>1369.0</v>
      </c>
      <c r="B1370" s="5" t="s">
        <v>1774</v>
      </c>
      <c r="C1370" s="5" t="s">
        <v>1775</v>
      </c>
      <c r="D1370" s="6">
        <f>IFERROR(__xludf.DUMMYFUNCTION("SPLIT(MID(C1370,2,LEN(C1370)-2), "","")"),2608.0)</f>
        <v>2608</v>
      </c>
      <c r="E1370" s="7"/>
      <c r="F1370" s="7"/>
      <c r="G1370" s="2" t="str">
        <f t="array" ref="G1370">IF(ISBLANK(D1370), "", INDEX(Categories!$B:$B,MATCH(D1370,Categories!$A:$A,0)))</f>
        <v>Radio Stations &amp; Broadcasting Companies</v>
      </c>
      <c r="H1370" s="7" t="str">
        <f t="array" ref="H1370">IF(ISBLANK(E1370), "", INDEX(Categories!$B:$B,MATCH(E1370,Categories!$A:$A,0)))</f>
        <v/>
      </c>
      <c r="I1370" s="7" t="str">
        <f t="array" ref="I1370">IF(ISBLANK(F1370), "", INDEX(Categories!$B:$B,MATCH(F1370,Categories!$A:$A,0)))</f>
        <v/>
      </c>
      <c r="J1370" s="4"/>
      <c r="K1370" s="4"/>
      <c r="L1370" s="4"/>
      <c r="M1370" s="4"/>
      <c r="N1370" s="4"/>
      <c r="O1370" s="4"/>
      <c r="P1370" s="4"/>
      <c r="Q1370" s="4"/>
    </row>
    <row r="1371">
      <c r="A1371" s="5">
        <v>1370.0</v>
      </c>
      <c r="B1371" s="5" t="s">
        <v>1776</v>
      </c>
      <c r="C1371" s="5" t="s">
        <v>139</v>
      </c>
      <c r="D1371" s="6">
        <f>IFERROR(__xludf.DUMMYFUNCTION("SPLIT(MID(C1371,2,LEN(C1371)-2), "","")"),1617.0)</f>
        <v>1617</v>
      </c>
      <c r="E1371" s="7"/>
      <c r="F1371" s="7"/>
      <c r="G1371" s="2" t="str">
        <f t="array" ref="G1371">IF(ISBLANK(D1371), "", INDEX(Categories!$B:$B,MATCH(D1371,Categories!$A:$A,0)))</f>
        <v>Department Stores</v>
      </c>
      <c r="H1371" s="7" t="str">
        <f t="array" ref="H1371">IF(ISBLANK(E1371), "", INDEX(Categories!$B:$B,MATCH(E1371,Categories!$A:$A,0)))</f>
        <v/>
      </c>
      <c r="I1371" s="7" t="str">
        <f t="array" ref="I1371">IF(ISBLANK(F1371), "", INDEX(Categories!$B:$B,MATCH(F1371,Categories!$A:$A,0)))</f>
        <v/>
      </c>
      <c r="J1371" s="4"/>
      <c r="K1371" s="4"/>
      <c r="L1371" s="4"/>
      <c r="M1371" s="4"/>
      <c r="N1371" s="4"/>
      <c r="O1371" s="4"/>
      <c r="P1371" s="4"/>
      <c r="Q1371" s="4"/>
    </row>
    <row r="1372">
      <c r="A1372" s="5">
        <v>1371.0</v>
      </c>
      <c r="B1372" s="5" t="s">
        <v>1777</v>
      </c>
      <c r="C1372" s="5" t="s">
        <v>1286</v>
      </c>
      <c r="D1372" s="6">
        <f>IFERROR(__xludf.DUMMYFUNCTION("SPLIT(MID(C1372,2,LEN(C1372)-2), "","")"),1100.0)</f>
        <v>1100</v>
      </c>
      <c r="E1372" s="7"/>
      <c r="F1372" s="7"/>
      <c r="G1372" s="2" t="str">
        <f t="array" ref="G1372">IF(ISBLANK(D1372), "", INDEX(Categories!$B:$B,MATCH(D1372,Categories!$A:$A,0)))</f>
        <v>Bars Grills &amp; Pubs</v>
      </c>
      <c r="H1372" s="7" t="str">
        <f t="array" ref="H1372">IF(ISBLANK(E1372), "", INDEX(Categories!$B:$B,MATCH(E1372,Categories!$A:$A,0)))</f>
        <v/>
      </c>
      <c r="I1372" s="7" t="str">
        <f t="array" ref="I1372">IF(ISBLANK(F1372), "", INDEX(Categories!$B:$B,MATCH(F1372,Categories!$A:$A,0)))</f>
        <v/>
      </c>
      <c r="J1372" s="4"/>
      <c r="K1372" s="4"/>
      <c r="L1372" s="4"/>
      <c r="M1372" s="4"/>
      <c r="N1372" s="4"/>
      <c r="O1372" s="4"/>
      <c r="P1372" s="4"/>
      <c r="Q1372" s="4"/>
    </row>
    <row r="1373">
      <c r="A1373" s="5">
        <v>1372.0</v>
      </c>
      <c r="B1373" s="5" t="s">
        <v>1778</v>
      </c>
      <c r="C1373" s="5" t="s">
        <v>1733</v>
      </c>
      <c r="D1373" s="6">
        <f>IFERROR(__xludf.DUMMYFUNCTION("SPLIT(MID(C1373,2,LEN(C1373)-2), "","")"),1238.0)</f>
        <v>1238</v>
      </c>
      <c r="E1373" s="7"/>
      <c r="F1373" s="7"/>
      <c r="G1373" s="2" t="str">
        <f t="array" ref="G1373">IF(ISBLANK(D1373), "", INDEX(Categories!$B:$B,MATCH(D1373,Categories!$A:$A,0)))</f>
        <v>Inks Printing &amp; Lithographing</v>
      </c>
      <c r="H1373" s="7" t="str">
        <f t="array" ref="H1373">IF(ISBLANK(E1373), "", INDEX(Categories!$B:$B,MATCH(E1373,Categories!$A:$A,0)))</f>
        <v/>
      </c>
      <c r="I1373" s="7" t="str">
        <f t="array" ref="I1373">IF(ISBLANK(F1373), "", INDEX(Categories!$B:$B,MATCH(F1373,Categories!$A:$A,0)))</f>
        <v/>
      </c>
      <c r="J1373" s="4"/>
      <c r="K1373" s="4"/>
      <c r="L1373" s="4"/>
      <c r="M1373" s="4"/>
      <c r="N1373" s="4"/>
      <c r="O1373" s="4"/>
      <c r="P1373" s="4"/>
      <c r="Q1373" s="4"/>
    </row>
    <row r="1374">
      <c r="A1374" s="5">
        <v>1373.0</v>
      </c>
      <c r="B1374" s="5" t="s">
        <v>1779</v>
      </c>
      <c r="C1374" s="5" t="s">
        <v>152</v>
      </c>
      <c r="D1374" s="6">
        <f>IFERROR(__xludf.DUMMYFUNCTION("SPLIT(MID(C1374,2,LEN(C1374)-2), "","")"),1183.0)</f>
        <v>1183</v>
      </c>
      <c r="E1374" s="7"/>
      <c r="F1374" s="7"/>
      <c r="G1374" s="2" t="str">
        <f t="array" ref="G1374">IF(ISBLANK(D1374), "", INDEX(Categories!$B:$B,MATCH(D1374,Categories!$A:$A,0)))</f>
        <v>Shipping Services</v>
      </c>
      <c r="H1374" s="7" t="str">
        <f t="array" ref="H1374">IF(ISBLANK(E1374), "", INDEX(Categories!$B:$B,MATCH(E1374,Categories!$A:$A,0)))</f>
        <v/>
      </c>
      <c r="I1374" s="7" t="str">
        <f t="array" ref="I1374">IF(ISBLANK(F1374), "", INDEX(Categories!$B:$B,MATCH(F1374,Categories!$A:$A,0)))</f>
        <v/>
      </c>
      <c r="J1374" s="4"/>
      <c r="K1374" s="4"/>
      <c r="L1374" s="4"/>
      <c r="M1374" s="4"/>
      <c r="N1374" s="4"/>
      <c r="O1374" s="4"/>
      <c r="P1374" s="4"/>
      <c r="Q1374" s="4"/>
    </row>
    <row r="1375">
      <c r="A1375" s="5">
        <v>1374.0</v>
      </c>
      <c r="B1375" s="5" t="s">
        <v>1780</v>
      </c>
      <c r="C1375" s="5" t="s">
        <v>295</v>
      </c>
      <c r="D1375" s="6">
        <f>IFERROR(__xludf.DUMMYFUNCTION("SPLIT(MID(C1375,2,LEN(C1375)-2), "","")"),2896.0)</f>
        <v>2896</v>
      </c>
      <c r="E1375" s="7"/>
      <c r="F1375" s="7"/>
      <c r="G1375" s="2" t="str">
        <f t="array" ref="G1375">IF(ISBLANK(D1375), "", INDEX(Categories!$B:$B,MATCH(D1375,Categories!$A:$A,0)))</f>
        <v>Variety Stores</v>
      </c>
      <c r="H1375" s="7" t="str">
        <f t="array" ref="H1375">IF(ISBLANK(E1375), "", INDEX(Categories!$B:$B,MATCH(E1375,Categories!$A:$A,0)))</f>
        <v/>
      </c>
      <c r="I1375" s="7" t="str">
        <f t="array" ref="I1375">IF(ISBLANK(F1375), "", INDEX(Categories!$B:$B,MATCH(F1375,Categories!$A:$A,0)))</f>
        <v/>
      </c>
      <c r="J1375" s="4"/>
      <c r="K1375" s="4"/>
      <c r="L1375" s="4"/>
      <c r="M1375" s="4"/>
      <c r="N1375" s="4"/>
      <c r="O1375" s="4"/>
      <c r="P1375" s="4"/>
      <c r="Q1375" s="4"/>
    </row>
    <row r="1376">
      <c r="A1376" s="5">
        <v>1375.0</v>
      </c>
      <c r="B1376" s="5" t="s">
        <v>1781</v>
      </c>
      <c r="C1376" s="5" t="s">
        <v>309</v>
      </c>
      <c r="D1376" s="6">
        <f>IFERROR(__xludf.DUMMYFUNCTION("SPLIT(MID(C1376,2,LEN(C1376)-2), "","")"),458.0)</f>
        <v>458</v>
      </c>
      <c r="E1376" s="7"/>
      <c r="F1376" s="7"/>
      <c r="G1376" s="2" t="str">
        <f t="array" ref="G1376">IF(ISBLANK(D1376), "", INDEX(Categories!$B:$B,MATCH(D1376,Categories!$A:$A,0)))</f>
        <v>Real Estate - Brokers &amp; Agents</v>
      </c>
      <c r="H1376" s="7" t="str">
        <f t="array" ref="H1376">IF(ISBLANK(E1376), "", INDEX(Categories!$B:$B,MATCH(E1376,Categories!$A:$A,0)))</f>
        <v/>
      </c>
      <c r="I1376" s="7" t="str">
        <f t="array" ref="I1376">IF(ISBLANK(F1376), "", INDEX(Categories!$B:$B,MATCH(F1376,Categories!$A:$A,0)))</f>
        <v/>
      </c>
      <c r="J1376" s="4"/>
      <c r="K1376" s="4"/>
      <c r="L1376" s="4"/>
      <c r="M1376" s="4"/>
      <c r="N1376" s="4"/>
      <c r="O1376" s="4"/>
      <c r="P1376" s="4"/>
      <c r="Q1376" s="4"/>
    </row>
    <row r="1377">
      <c r="A1377" s="5">
        <v>1376.0</v>
      </c>
      <c r="B1377" s="5" t="s">
        <v>1782</v>
      </c>
      <c r="C1377" s="5" t="s">
        <v>1138</v>
      </c>
      <c r="D1377" s="6">
        <f>IFERROR(__xludf.DUMMYFUNCTION("SPLIT(MID(C1377,2,LEN(C1377)-2), "","")"),116.0)</f>
        <v>116</v>
      </c>
      <c r="E1377" s="7"/>
      <c r="F1377" s="7"/>
      <c r="G1377" s="2" t="str">
        <f t="array" ref="G1377">IF(ISBLANK(D1377), "", INDEX(Categories!$B:$B,MATCH(D1377,Categories!$A:$A,0)))</f>
        <v>Florists</v>
      </c>
      <c r="H1377" s="7" t="str">
        <f t="array" ref="H1377">IF(ISBLANK(E1377), "", INDEX(Categories!$B:$B,MATCH(E1377,Categories!$A:$A,0)))</f>
        <v/>
      </c>
      <c r="I1377" s="7" t="str">
        <f t="array" ref="I1377">IF(ISBLANK(F1377), "", INDEX(Categories!$B:$B,MATCH(F1377,Categories!$A:$A,0)))</f>
        <v/>
      </c>
      <c r="J1377" s="4"/>
      <c r="K1377" s="4"/>
      <c r="L1377" s="4"/>
      <c r="M1377" s="4"/>
      <c r="N1377" s="4"/>
      <c r="O1377" s="4"/>
      <c r="P1377" s="4"/>
      <c r="Q1377" s="4"/>
    </row>
    <row r="1378">
      <c r="A1378" s="5">
        <v>1377.0</v>
      </c>
      <c r="B1378" s="5" t="s">
        <v>1783</v>
      </c>
      <c r="C1378" s="5" t="s">
        <v>87</v>
      </c>
      <c r="D1378" s="6">
        <f>IFERROR(__xludf.DUMMYFUNCTION("SPLIT(MID(C1378,2,LEN(C1378)-2), "","")"),168.0)</f>
        <v>168</v>
      </c>
      <c r="E1378" s="7"/>
      <c r="F1378" s="7"/>
      <c r="G1378" s="2" t="str">
        <f t="array" ref="G1378">IF(ISBLANK(D1378), "", INDEX(Categories!$B:$B,MATCH(D1378,Categories!$A:$A,0)))</f>
        <v>Hotels &amp; Motels</v>
      </c>
      <c r="H1378" s="7" t="str">
        <f t="array" ref="H1378">IF(ISBLANK(E1378), "", INDEX(Categories!$B:$B,MATCH(E1378,Categories!$A:$A,0)))</f>
        <v/>
      </c>
      <c r="I1378" s="7" t="str">
        <f t="array" ref="I1378">IF(ISBLANK(F1378), "", INDEX(Categories!$B:$B,MATCH(F1378,Categories!$A:$A,0)))</f>
        <v/>
      </c>
      <c r="J1378" s="4"/>
      <c r="K1378" s="4"/>
      <c r="L1378" s="4"/>
      <c r="M1378" s="4"/>
      <c r="N1378" s="4"/>
      <c r="O1378" s="4"/>
      <c r="P1378" s="4"/>
      <c r="Q1378" s="4"/>
    </row>
    <row r="1379">
      <c r="A1379" s="5">
        <v>1378.0</v>
      </c>
      <c r="B1379" s="5" t="s">
        <v>1784</v>
      </c>
      <c r="C1379" s="5" t="s">
        <v>1785</v>
      </c>
      <c r="D1379" s="6">
        <f>IFERROR(__xludf.DUMMYFUNCTION("SPLIT(MID(C1379,2,LEN(C1379)-2), "","")"),259.0)</f>
        <v>259</v>
      </c>
      <c r="E1379" s="7"/>
      <c r="F1379" s="7"/>
      <c r="G1379" s="2" t="str">
        <f t="array" ref="G1379">IF(ISBLANK(D1379), "", INDEX(Categories!$B:$B,MATCH(D1379,Categories!$A:$A,0)))</f>
        <v>Identification Card Service</v>
      </c>
      <c r="H1379" s="7" t="str">
        <f t="array" ref="H1379">IF(ISBLANK(E1379), "", INDEX(Categories!$B:$B,MATCH(E1379,Categories!$A:$A,0)))</f>
        <v/>
      </c>
      <c r="I1379" s="7" t="str">
        <f t="array" ref="I1379">IF(ISBLANK(F1379), "", INDEX(Categories!$B:$B,MATCH(F1379,Categories!$A:$A,0)))</f>
        <v/>
      </c>
      <c r="J1379" s="4"/>
      <c r="K1379" s="4"/>
      <c r="L1379" s="4"/>
      <c r="M1379" s="4"/>
      <c r="N1379" s="4"/>
      <c r="O1379" s="4"/>
      <c r="P1379" s="4"/>
      <c r="Q1379" s="4"/>
    </row>
    <row r="1380">
      <c r="A1380" s="5">
        <v>1379.0</v>
      </c>
      <c r="B1380" s="5" t="s">
        <v>1786</v>
      </c>
      <c r="C1380" s="5" t="s">
        <v>801</v>
      </c>
      <c r="D1380" s="6">
        <f>IFERROR(__xludf.DUMMYFUNCTION("SPLIT(MID(C1380,2,LEN(C1380)-2), "","")"),1886.0)</f>
        <v>1886</v>
      </c>
      <c r="E1380" s="7"/>
      <c r="F1380" s="7"/>
      <c r="G1380" s="2" t="str">
        <f t="array" ref="G1380">IF(ISBLANK(D1380), "", INDEX(Categories!$B:$B,MATCH(D1380,Categories!$A:$A,0)))</f>
        <v>Pet Shops</v>
      </c>
      <c r="H1380" s="7" t="str">
        <f t="array" ref="H1380">IF(ISBLANK(E1380), "", INDEX(Categories!$B:$B,MATCH(E1380,Categories!$A:$A,0)))</f>
        <v/>
      </c>
      <c r="I1380" s="7" t="str">
        <f t="array" ref="I1380">IF(ISBLANK(F1380), "", INDEX(Categories!$B:$B,MATCH(F1380,Categories!$A:$A,0)))</f>
        <v/>
      </c>
      <c r="J1380" s="4"/>
      <c r="K1380" s="4"/>
      <c r="L1380" s="4"/>
      <c r="M1380" s="4"/>
      <c r="N1380" s="4"/>
      <c r="O1380" s="4"/>
      <c r="P1380" s="4"/>
      <c r="Q1380" s="4"/>
    </row>
    <row r="1381">
      <c r="A1381" s="5">
        <v>1380.0</v>
      </c>
      <c r="B1381" s="5" t="s">
        <v>1787</v>
      </c>
      <c r="C1381" s="5" t="s">
        <v>1788</v>
      </c>
      <c r="D1381" s="6">
        <f>IFERROR(__xludf.DUMMYFUNCTION("SPLIT(MID(C1381,2,LEN(C1381)-2), "","")"),2472.0)</f>
        <v>2472</v>
      </c>
      <c r="E1381" s="7"/>
      <c r="F1381" s="7"/>
      <c r="G1381" s="2" t="str">
        <f t="array" ref="G1381">IF(ISBLANK(D1381), "", INDEX(Categories!$B:$B,MATCH(D1381,Categories!$A:$A,0)))</f>
        <v>Campgrounds &amp; Recreational Vehicle Parks</v>
      </c>
      <c r="H1381" s="7" t="str">
        <f t="array" ref="H1381">IF(ISBLANK(E1381), "", INDEX(Categories!$B:$B,MATCH(E1381,Categories!$A:$A,0)))</f>
        <v/>
      </c>
      <c r="I1381" s="7" t="str">
        <f t="array" ref="I1381">IF(ISBLANK(F1381), "", INDEX(Categories!$B:$B,MATCH(F1381,Categories!$A:$A,0)))</f>
        <v/>
      </c>
      <c r="J1381" s="4"/>
      <c r="K1381" s="4"/>
      <c r="L1381" s="4"/>
      <c r="M1381" s="4"/>
      <c r="N1381" s="4"/>
      <c r="O1381" s="4"/>
      <c r="P1381" s="4"/>
      <c r="Q1381" s="4"/>
    </row>
    <row r="1382">
      <c r="A1382" s="5">
        <v>1381.0</v>
      </c>
      <c r="B1382" s="5" t="s">
        <v>1789</v>
      </c>
      <c r="C1382" s="5" t="s">
        <v>12</v>
      </c>
      <c r="D1382" s="6">
        <f>IFERROR(__xludf.DUMMYFUNCTION("SPLIT(MID(C1382,2,LEN(C1382)-2), "","")"),469.0)</f>
        <v>469</v>
      </c>
      <c r="E1382" s="7"/>
      <c r="F1382" s="7"/>
      <c r="G1382" s="2" t="str">
        <f t="array" ref="G1382">IF(ISBLANK(D1382), "", INDEX(Categories!$B:$B,MATCH(D1382,Categories!$A:$A,0)))</f>
        <v>Automobile - Repairs &amp; Services</v>
      </c>
      <c r="H1382" s="7" t="str">
        <f t="array" ref="H1382">IF(ISBLANK(E1382), "", INDEX(Categories!$B:$B,MATCH(E1382,Categories!$A:$A,0)))</f>
        <v/>
      </c>
      <c r="I1382" s="7" t="str">
        <f t="array" ref="I1382">IF(ISBLANK(F1382), "", INDEX(Categories!$B:$B,MATCH(F1382,Categories!$A:$A,0)))</f>
        <v/>
      </c>
      <c r="J1382" s="4"/>
      <c r="K1382" s="4"/>
      <c r="L1382" s="4"/>
      <c r="M1382" s="4"/>
      <c r="N1382" s="4"/>
      <c r="O1382" s="4"/>
      <c r="P1382" s="4"/>
      <c r="Q1382" s="4"/>
    </row>
    <row r="1383">
      <c r="A1383" s="5">
        <v>1382.0</v>
      </c>
      <c r="B1383" s="5" t="s">
        <v>1790</v>
      </c>
      <c r="C1383" s="5" t="s">
        <v>62</v>
      </c>
      <c r="D1383" s="6">
        <f>IFERROR(__xludf.DUMMYFUNCTION("SPLIT(MID(C1383,2,LEN(C1383)-2), "","")"),242.0)</f>
        <v>242</v>
      </c>
      <c r="E1383" s="7"/>
      <c r="F1383" s="7"/>
      <c r="G1383" s="2" t="str">
        <f t="array" ref="G1383">IF(ISBLANK(D1383), "", INDEX(Categories!$B:$B,MATCH(D1383,Categories!$A:$A,0)))</f>
        <v>Restaurants Pizza</v>
      </c>
      <c r="H1383" s="7" t="str">
        <f t="array" ref="H1383">IF(ISBLANK(E1383), "", INDEX(Categories!$B:$B,MATCH(E1383,Categories!$A:$A,0)))</f>
        <v/>
      </c>
      <c r="I1383" s="7" t="str">
        <f t="array" ref="I1383">IF(ISBLANK(F1383), "", INDEX(Categories!$B:$B,MATCH(F1383,Categories!$A:$A,0)))</f>
        <v/>
      </c>
      <c r="J1383" s="4"/>
      <c r="K1383" s="4"/>
      <c r="L1383" s="4"/>
      <c r="M1383" s="4"/>
      <c r="N1383" s="4"/>
      <c r="O1383" s="4"/>
      <c r="P1383" s="4"/>
      <c r="Q1383" s="4"/>
    </row>
    <row r="1384">
      <c r="A1384" s="5">
        <v>1383.0</v>
      </c>
      <c r="B1384" s="5" t="s">
        <v>1791</v>
      </c>
      <c r="C1384" s="5" t="s">
        <v>51</v>
      </c>
      <c r="D1384" s="6">
        <f>IFERROR(__xludf.DUMMYFUNCTION("SPLIT(MID(C1384,2,LEN(C1384)-2), "","")"),608.0)</f>
        <v>608</v>
      </c>
      <c r="E1384" s="7"/>
      <c r="F1384" s="7"/>
      <c r="G1384" s="2" t="str">
        <f t="array" ref="G1384">IF(ISBLANK(D1384), "", INDEX(Categories!$B:$B,MATCH(D1384,Categories!$A:$A,0)))</f>
        <v>Sandwiches</v>
      </c>
      <c r="H1384" s="7" t="str">
        <f t="array" ref="H1384">IF(ISBLANK(E1384), "", INDEX(Categories!$B:$B,MATCH(E1384,Categories!$A:$A,0)))</f>
        <v/>
      </c>
      <c r="I1384" s="7" t="str">
        <f t="array" ref="I1384">IF(ISBLANK(F1384), "", INDEX(Categories!$B:$B,MATCH(F1384,Categories!$A:$A,0)))</f>
        <v/>
      </c>
      <c r="J1384" s="4"/>
      <c r="K1384" s="4"/>
      <c r="L1384" s="4"/>
      <c r="M1384" s="4"/>
      <c r="N1384" s="4"/>
      <c r="O1384" s="4"/>
      <c r="P1384" s="4"/>
      <c r="Q1384" s="4"/>
    </row>
    <row r="1385">
      <c r="A1385" s="5">
        <v>1384.0</v>
      </c>
      <c r="B1385" s="5" t="s">
        <v>1792</v>
      </c>
      <c r="C1385" s="5" t="s">
        <v>1300</v>
      </c>
      <c r="D1385" s="6">
        <f>IFERROR(__xludf.DUMMYFUNCTION("SPLIT(MID(C1385,2,LEN(C1385)-2), "","")"),785.0)</f>
        <v>785</v>
      </c>
      <c r="E1385" s="7"/>
      <c r="F1385" s="7"/>
      <c r="G1385" s="2" t="str">
        <f t="array" ref="G1385">IF(ISBLANK(D1385), "", INDEX(Categories!$B:$B,MATCH(D1385,Categories!$A:$A,0)))</f>
        <v>Advertising Direct Mail</v>
      </c>
      <c r="H1385" s="7" t="str">
        <f t="array" ref="H1385">IF(ISBLANK(E1385), "", INDEX(Categories!$B:$B,MATCH(E1385,Categories!$A:$A,0)))</f>
        <v/>
      </c>
      <c r="I1385" s="7" t="str">
        <f t="array" ref="I1385">IF(ISBLANK(F1385), "", INDEX(Categories!$B:$B,MATCH(F1385,Categories!$A:$A,0)))</f>
        <v/>
      </c>
      <c r="J1385" s="4"/>
      <c r="K1385" s="4"/>
      <c r="L1385" s="4"/>
      <c r="M1385" s="4"/>
      <c r="N1385" s="4"/>
      <c r="O1385" s="4"/>
      <c r="P1385" s="4"/>
      <c r="Q1385" s="4"/>
    </row>
    <row r="1386">
      <c r="A1386" s="5">
        <v>1385.0</v>
      </c>
      <c r="B1386" s="5" t="s">
        <v>1793</v>
      </c>
      <c r="C1386" s="5" t="s">
        <v>69</v>
      </c>
      <c r="D1386" s="6">
        <f>IFERROR(__xludf.DUMMYFUNCTION("SPLIT(MID(C1386,2,LEN(C1386)-2), "","")"),293.0)</f>
        <v>293</v>
      </c>
      <c r="E1386" s="7"/>
      <c r="F1386" s="7"/>
      <c r="G1386" s="2" t="str">
        <f t="array" ref="G1386">IF(ISBLANK(D1386), "", INDEX(Categories!$B:$B,MATCH(D1386,Categories!$A:$A,0)))</f>
        <v>Banks Commercial</v>
      </c>
      <c r="H1386" s="7" t="str">
        <f t="array" ref="H1386">IF(ISBLANK(E1386), "", INDEX(Categories!$B:$B,MATCH(E1386,Categories!$A:$A,0)))</f>
        <v/>
      </c>
      <c r="I1386" s="7" t="str">
        <f t="array" ref="I1386">IF(ISBLANK(F1386), "", INDEX(Categories!$B:$B,MATCH(F1386,Categories!$A:$A,0)))</f>
        <v/>
      </c>
      <c r="J1386" s="4"/>
      <c r="K1386" s="4"/>
      <c r="L1386" s="4"/>
      <c r="M1386" s="4"/>
      <c r="N1386" s="4"/>
      <c r="O1386" s="4"/>
      <c r="P1386" s="4"/>
      <c r="Q1386" s="4"/>
    </row>
    <row r="1387">
      <c r="A1387" s="5">
        <v>1386.0</v>
      </c>
      <c r="B1387" s="5" t="s">
        <v>1794</v>
      </c>
      <c r="C1387" s="5" t="s">
        <v>69</v>
      </c>
      <c r="D1387" s="6">
        <f>IFERROR(__xludf.DUMMYFUNCTION("SPLIT(MID(C1387,2,LEN(C1387)-2), "","")"),293.0)</f>
        <v>293</v>
      </c>
      <c r="E1387" s="7"/>
      <c r="F1387" s="7"/>
      <c r="G1387" s="2" t="str">
        <f t="array" ref="G1387">IF(ISBLANK(D1387), "", INDEX(Categories!$B:$B,MATCH(D1387,Categories!$A:$A,0)))</f>
        <v>Banks Commercial</v>
      </c>
      <c r="H1387" s="7" t="str">
        <f t="array" ref="H1387">IF(ISBLANK(E1387), "", INDEX(Categories!$B:$B,MATCH(E1387,Categories!$A:$A,0)))</f>
        <v/>
      </c>
      <c r="I1387" s="7" t="str">
        <f t="array" ref="I1387">IF(ISBLANK(F1387), "", INDEX(Categories!$B:$B,MATCH(F1387,Categories!$A:$A,0)))</f>
        <v/>
      </c>
      <c r="J1387" s="4"/>
      <c r="K1387" s="4"/>
      <c r="L1387" s="4"/>
      <c r="M1387" s="4"/>
      <c r="N1387" s="4"/>
      <c r="O1387" s="4"/>
      <c r="P1387" s="4"/>
      <c r="Q1387" s="4"/>
    </row>
    <row r="1388">
      <c r="A1388" s="5">
        <v>1387.0</v>
      </c>
      <c r="B1388" s="5" t="s">
        <v>1795</v>
      </c>
      <c r="C1388" s="5" t="s">
        <v>307</v>
      </c>
      <c r="D1388" s="6">
        <f>IFERROR(__xludf.DUMMYFUNCTION("SPLIT(MID(C1388,2,LEN(C1388)-2), "","")"),241.0)</f>
        <v>241</v>
      </c>
      <c r="E1388" s="7"/>
      <c r="F1388" s="7"/>
      <c r="G1388" s="2" t="str">
        <f t="array" ref="G1388">IF(ISBLANK(D1388), "", INDEX(Categories!$B:$B,MATCH(D1388,Categories!$A:$A,0)))</f>
        <v>Restaurants Mexican</v>
      </c>
      <c r="H1388" s="7" t="str">
        <f t="array" ref="H1388">IF(ISBLANK(E1388), "", INDEX(Categories!$B:$B,MATCH(E1388,Categories!$A:$A,0)))</f>
        <v/>
      </c>
      <c r="I1388" s="7" t="str">
        <f t="array" ref="I1388">IF(ISBLANK(F1388), "", INDEX(Categories!$B:$B,MATCH(F1388,Categories!$A:$A,0)))</f>
        <v/>
      </c>
      <c r="J1388" s="4"/>
      <c r="K1388" s="4"/>
      <c r="L1388" s="4"/>
      <c r="M1388" s="4"/>
      <c r="N1388" s="4"/>
      <c r="O1388" s="4"/>
      <c r="P1388" s="4"/>
      <c r="Q1388" s="4"/>
    </row>
    <row r="1389">
      <c r="A1389" s="5">
        <v>1388.0</v>
      </c>
      <c r="B1389" s="5" t="s">
        <v>1796</v>
      </c>
      <c r="C1389" s="5" t="s">
        <v>69</v>
      </c>
      <c r="D1389" s="6">
        <f>IFERROR(__xludf.DUMMYFUNCTION("SPLIT(MID(C1389,2,LEN(C1389)-2), "","")"),293.0)</f>
        <v>293</v>
      </c>
      <c r="E1389" s="7"/>
      <c r="F1389" s="7"/>
      <c r="G1389" s="2" t="str">
        <f t="array" ref="G1389">IF(ISBLANK(D1389), "", INDEX(Categories!$B:$B,MATCH(D1389,Categories!$A:$A,0)))</f>
        <v>Banks Commercial</v>
      </c>
      <c r="H1389" s="7" t="str">
        <f t="array" ref="H1389">IF(ISBLANK(E1389), "", INDEX(Categories!$B:$B,MATCH(E1389,Categories!$A:$A,0)))</f>
        <v/>
      </c>
      <c r="I1389" s="7" t="str">
        <f t="array" ref="I1389">IF(ISBLANK(F1389), "", INDEX(Categories!$B:$B,MATCH(F1389,Categories!$A:$A,0)))</f>
        <v/>
      </c>
      <c r="J1389" s="4"/>
      <c r="K1389" s="4"/>
      <c r="L1389" s="4"/>
      <c r="M1389" s="4"/>
      <c r="N1389" s="4"/>
      <c r="O1389" s="4"/>
      <c r="P1389" s="4"/>
      <c r="Q1389" s="4"/>
    </row>
    <row r="1390">
      <c r="A1390" s="5">
        <v>1389.0</v>
      </c>
      <c r="B1390" s="5" t="s">
        <v>1797</v>
      </c>
      <c r="C1390" s="5" t="s">
        <v>1585</v>
      </c>
      <c r="D1390" s="6">
        <f>IFERROR(__xludf.DUMMYFUNCTION("SPLIT(MID(C1390,2,LEN(C1390)-2), "","")"),579.0)</f>
        <v>579</v>
      </c>
      <c r="E1390" s="7"/>
      <c r="F1390" s="7"/>
      <c r="G1390" s="2" t="str">
        <f t="array" ref="G1390">IF(ISBLANK(D1390), "", INDEX(Categories!$B:$B,MATCH(D1390,Categories!$A:$A,0)))</f>
        <v>Chocolate &amp; Cocoa</v>
      </c>
      <c r="H1390" s="7" t="str">
        <f t="array" ref="H1390">IF(ISBLANK(E1390), "", INDEX(Categories!$B:$B,MATCH(E1390,Categories!$A:$A,0)))</f>
        <v/>
      </c>
      <c r="I1390" s="7" t="str">
        <f t="array" ref="I1390">IF(ISBLANK(F1390), "", INDEX(Categories!$B:$B,MATCH(F1390,Categories!$A:$A,0)))</f>
        <v/>
      </c>
      <c r="J1390" s="4"/>
      <c r="K1390" s="4"/>
      <c r="L1390" s="4"/>
      <c r="M1390" s="4"/>
      <c r="N1390" s="4"/>
      <c r="O1390" s="4"/>
      <c r="P1390" s="4"/>
      <c r="Q1390" s="4"/>
    </row>
    <row r="1391">
      <c r="A1391" s="5">
        <v>1390.0</v>
      </c>
      <c r="B1391" s="5" t="s">
        <v>1798</v>
      </c>
      <c r="C1391" s="5" t="s">
        <v>69</v>
      </c>
      <c r="D1391" s="6">
        <f>IFERROR(__xludf.DUMMYFUNCTION("SPLIT(MID(C1391,2,LEN(C1391)-2), "","")"),293.0)</f>
        <v>293</v>
      </c>
      <c r="E1391" s="7"/>
      <c r="F1391" s="7"/>
      <c r="G1391" s="2" t="str">
        <f t="array" ref="G1391">IF(ISBLANK(D1391), "", INDEX(Categories!$B:$B,MATCH(D1391,Categories!$A:$A,0)))</f>
        <v>Banks Commercial</v>
      </c>
      <c r="H1391" s="7" t="str">
        <f t="array" ref="H1391">IF(ISBLANK(E1391), "", INDEX(Categories!$B:$B,MATCH(E1391,Categories!$A:$A,0)))</f>
        <v/>
      </c>
      <c r="I1391" s="7" t="str">
        <f t="array" ref="I1391">IF(ISBLANK(F1391), "", INDEX(Categories!$B:$B,MATCH(F1391,Categories!$A:$A,0)))</f>
        <v/>
      </c>
      <c r="J1391" s="4"/>
      <c r="K1391" s="4"/>
      <c r="L1391" s="4"/>
      <c r="M1391" s="4"/>
      <c r="N1391" s="4"/>
      <c r="O1391" s="4"/>
      <c r="P1391" s="4"/>
      <c r="Q1391" s="4"/>
    </row>
    <row r="1392">
      <c r="A1392" s="5">
        <v>1391.0</v>
      </c>
      <c r="B1392" s="5" t="s">
        <v>1799</v>
      </c>
      <c r="C1392" s="5" t="s">
        <v>1286</v>
      </c>
      <c r="D1392" s="6">
        <f>IFERROR(__xludf.DUMMYFUNCTION("SPLIT(MID(C1392,2,LEN(C1392)-2), "","")"),1100.0)</f>
        <v>1100</v>
      </c>
      <c r="E1392" s="7"/>
      <c r="F1392" s="7"/>
      <c r="G1392" s="2" t="str">
        <f t="array" ref="G1392">IF(ISBLANK(D1392), "", INDEX(Categories!$B:$B,MATCH(D1392,Categories!$A:$A,0)))</f>
        <v>Bars Grills &amp; Pubs</v>
      </c>
      <c r="H1392" s="7" t="str">
        <f t="array" ref="H1392">IF(ISBLANK(E1392), "", INDEX(Categories!$B:$B,MATCH(E1392,Categories!$A:$A,0)))</f>
        <v/>
      </c>
      <c r="I1392" s="7" t="str">
        <f t="array" ref="I1392">IF(ISBLANK(F1392), "", INDEX(Categories!$B:$B,MATCH(F1392,Categories!$A:$A,0)))</f>
        <v/>
      </c>
      <c r="J1392" s="4"/>
      <c r="K1392" s="4"/>
      <c r="L1392" s="4"/>
      <c r="M1392" s="4"/>
      <c r="N1392" s="4"/>
      <c r="O1392" s="4"/>
      <c r="P1392" s="4"/>
      <c r="Q1392" s="4"/>
    </row>
    <row r="1393">
      <c r="A1393" s="5">
        <v>1392.0</v>
      </c>
      <c r="B1393" s="5" t="s">
        <v>1800</v>
      </c>
      <c r="C1393" s="5" t="s">
        <v>188</v>
      </c>
      <c r="D1393" s="6">
        <f>IFERROR(__xludf.DUMMYFUNCTION("SPLIT(MID(C1393,2,LEN(C1393)-2), "","")"),534.0)</f>
        <v>534</v>
      </c>
      <c r="E1393" s="7"/>
      <c r="F1393" s="7"/>
      <c r="G1393" s="2" t="str">
        <f t="array" ref="G1393">IF(ISBLANK(D1393), "", INDEX(Categories!$B:$B,MATCH(D1393,Categories!$A:$A,0)))</f>
        <v>Moving Services</v>
      </c>
      <c r="H1393" s="7" t="str">
        <f t="array" ref="H1393">IF(ISBLANK(E1393), "", INDEX(Categories!$B:$B,MATCH(E1393,Categories!$A:$A,0)))</f>
        <v/>
      </c>
      <c r="I1393" s="7" t="str">
        <f t="array" ref="I1393">IF(ISBLANK(F1393), "", INDEX(Categories!$B:$B,MATCH(F1393,Categories!$A:$A,0)))</f>
        <v/>
      </c>
      <c r="J1393" s="4"/>
      <c r="K1393" s="4"/>
      <c r="L1393" s="4"/>
      <c r="M1393" s="4"/>
      <c r="N1393" s="4"/>
      <c r="O1393" s="4"/>
      <c r="P1393" s="4"/>
      <c r="Q1393" s="4"/>
    </row>
    <row r="1394">
      <c r="A1394" s="5">
        <v>1393.0</v>
      </c>
      <c r="B1394" s="5" t="s">
        <v>1801</v>
      </c>
      <c r="C1394" s="5" t="s">
        <v>428</v>
      </c>
      <c r="D1394" s="6">
        <f>IFERROR(__xludf.DUMMYFUNCTION("SPLIT(MID(C1394,2,LEN(C1394)-2), "","")"),558.0)</f>
        <v>558</v>
      </c>
      <c r="E1394" s="7"/>
      <c r="F1394" s="7"/>
      <c r="G1394" s="2" t="str">
        <f t="array" ref="G1394">IF(ISBLANK(D1394), "", INDEX(Categories!$B:$B,MATCH(D1394,Categories!$A:$A,0)))</f>
        <v>Employment Agencies</v>
      </c>
      <c r="H1394" s="7" t="str">
        <f t="array" ref="H1394">IF(ISBLANK(E1394), "", INDEX(Categories!$B:$B,MATCH(E1394,Categories!$A:$A,0)))</f>
        <v/>
      </c>
      <c r="I1394" s="7" t="str">
        <f t="array" ref="I1394">IF(ISBLANK(F1394), "", INDEX(Categories!$B:$B,MATCH(F1394,Categories!$A:$A,0)))</f>
        <v/>
      </c>
      <c r="J1394" s="4"/>
      <c r="K1394" s="4"/>
      <c r="L1394" s="4"/>
      <c r="M1394" s="4"/>
      <c r="N1394" s="4"/>
      <c r="O1394" s="4"/>
      <c r="P1394" s="4"/>
      <c r="Q1394" s="4"/>
    </row>
    <row r="1395">
      <c r="A1395" s="5">
        <v>1394.0</v>
      </c>
      <c r="B1395" s="5" t="s">
        <v>1802</v>
      </c>
      <c r="C1395" s="5" t="s">
        <v>1212</v>
      </c>
      <c r="D1395" s="6">
        <f>IFERROR(__xludf.DUMMYFUNCTION("SPLIT(MID(C1395,2,LEN(C1395)-2), "","")"),982.0)</f>
        <v>982</v>
      </c>
      <c r="E1395" s="7"/>
      <c r="F1395" s="7"/>
      <c r="G1395" s="2" t="str">
        <f t="array" ref="G1395">IF(ISBLANK(D1395), "", INDEX(Categories!$B:$B,MATCH(D1395,Categories!$A:$A,0)))</f>
        <v>Internet Web Hosting &amp; Design</v>
      </c>
      <c r="H1395" s="7" t="str">
        <f t="array" ref="H1395">IF(ISBLANK(E1395), "", INDEX(Categories!$B:$B,MATCH(E1395,Categories!$A:$A,0)))</f>
        <v/>
      </c>
      <c r="I1395" s="7" t="str">
        <f t="array" ref="I1395">IF(ISBLANK(F1395), "", INDEX(Categories!$B:$B,MATCH(F1395,Categories!$A:$A,0)))</f>
        <v/>
      </c>
      <c r="J1395" s="4"/>
      <c r="K1395" s="4"/>
      <c r="L1395" s="4"/>
      <c r="M1395" s="4"/>
      <c r="N1395" s="4"/>
      <c r="O1395" s="4"/>
      <c r="P1395" s="4"/>
      <c r="Q1395" s="4"/>
    </row>
    <row r="1396">
      <c r="A1396" s="5">
        <v>1395.0</v>
      </c>
      <c r="B1396" s="5" t="s">
        <v>1803</v>
      </c>
      <c r="C1396" s="5" t="s">
        <v>1804</v>
      </c>
      <c r="D1396" s="6">
        <f>IFERROR(__xludf.DUMMYFUNCTION("SPLIT(MID(C1396,2,LEN(C1396)-2), "","")"),965.0)</f>
        <v>965</v>
      </c>
      <c r="E1396" s="7"/>
      <c r="F1396" s="7"/>
      <c r="G1396" s="2" t="str">
        <f t="array" ref="G1396">IF(ISBLANK(D1396), "", INDEX(Categories!$B:$B,MATCH(D1396,Categories!$A:$A,0)))</f>
        <v>Concrete Repairing &amp; Restoration</v>
      </c>
      <c r="H1396" s="7" t="str">
        <f t="array" ref="H1396">IF(ISBLANK(E1396), "", INDEX(Categories!$B:$B,MATCH(E1396,Categories!$A:$A,0)))</f>
        <v/>
      </c>
      <c r="I1396" s="7" t="str">
        <f t="array" ref="I1396">IF(ISBLANK(F1396), "", INDEX(Categories!$B:$B,MATCH(F1396,Categories!$A:$A,0)))</f>
        <v/>
      </c>
      <c r="J1396" s="4"/>
      <c r="K1396" s="4"/>
      <c r="L1396" s="4"/>
      <c r="M1396" s="4"/>
      <c r="N1396" s="4"/>
      <c r="O1396" s="4"/>
      <c r="P1396" s="4"/>
      <c r="Q1396" s="4"/>
    </row>
    <row r="1397">
      <c r="A1397" s="5">
        <v>1396.0</v>
      </c>
      <c r="B1397" s="5" t="s">
        <v>1805</v>
      </c>
      <c r="C1397" s="5" t="s">
        <v>1382</v>
      </c>
      <c r="D1397" s="6">
        <f>IFERROR(__xludf.DUMMYFUNCTION("SPLIT(MID(C1397,2,LEN(C1397)-2), "","")"),2758.0)</f>
        <v>2758</v>
      </c>
      <c r="E1397" s="7"/>
      <c r="F1397" s="7"/>
      <c r="G1397" s="2" t="str">
        <f t="array" ref="G1397">IF(ISBLANK(D1397), "", INDEX(Categories!$B:$B,MATCH(D1397,Categories!$A:$A,0)))</f>
        <v>Business Consultants</v>
      </c>
      <c r="H1397" s="7" t="str">
        <f t="array" ref="H1397">IF(ISBLANK(E1397), "", INDEX(Categories!$B:$B,MATCH(E1397,Categories!$A:$A,0)))</f>
        <v/>
      </c>
      <c r="I1397" s="7" t="str">
        <f t="array" ref="I1397">IF(ISBLANK(F1397), "", INDEX(Categories!$B:$B,MATCH(F1397,Categories!$A:$A,0)))</f>
        <v/>
      </c>
      <c r="J1397" s="4"/>
      <c r="K1397" s="4"/>
      <c r="L1397" s="4"/>
      <c r="M1397" s="4"/>
      <c r="N1397" s="4"/>
      <c r="O1397" s="4"/>
      <c r="P1397" s="4"/>
      <c r="Q1397" s="4"/>
    </row>
    <row r="1398">
      <c r="A1398" s="5">
        <v>1397.0</v>
      </c>
      <c r="B1398" s="5" t="s">
        <v>1806</v>
      </c>
      <c r="C1398" s="5" t="s">
        <v>41</v>
      </c>
      <c r="D1398" s="6">
        <f>IFERROR(__xludf.DUMMYFUNCTION("SPLIT(MID(C1398,2,LEN(C1398)-2), "","")"),93.0)</f>
        <v>93</v>
      </c>
      <c r="E1398" s="7"/>
      <c r="F1398" s="7"/>
      <c r="G1398" s="2" t="str">
        <f t="array" ref="G1398">IF(ISBLANK(D1398), "", INDEX(Categories!$B:$B,MATCH(D1398,Categories!$A:$A,0)))</f>
        <v>Automobile - Rentals</v>
      </c>
      <c r="H1398" s="7" t="str">
        <f t="array" ref="H1398">IF(ISBLANK(E1398), "", INDEX(Categories!$B:$B,MATCH(E1398,Categories!$A:$A,0)))</f>
        <v/>
      </c>
      <c r="I1398" s="7" t="str">
        <f t="array" ref="I1398">IF(ISBLANK(F1398), "", INDEX(Categories!$B:$B,MATCH(F1398,Categories!$A:$A,0)))</f>
        <v/>
      </c>
      <c r="J1398" s="4"/>
      <c r="K1398" s="4"/>
      <c r="L1398" s="4"/>
      <c r="M1398" s="4"/>
      <c r="N1398" s="4"/>
      <c r="O1398" s="4"/>
      <c r="P1398" s="4"/>
      <c r="Q1398" s="4"/>
    </row>
    <row r="1399">
      <c r="A1399" s="5">
        <v>1398.0</v>
      </c>
      <c r="B1399" s="5" t="s">
        <v>1807</v>
      </c>
      <c r="C1399" s="5" t="s">
        <v>866</v>
      </c>
      <c r="D1399" s="6">
        <f>IFERROR(__xludf.DUMMYFUNCTION("SPLIT(MID(C1399,2,LEN(C1399)-2), "","")"),1332.0)</f>
        <v>1332</v>
      </c>
      <c r="E1399" s="7"/>
      <c r="F1399" s="7"/>
      <c r="G1399" s="2" t="str">
        <f t="array" ref="G1399">IF(ISBLANK(D1399), "", INDEX(Categories!$B:$B,MATCH(D1399,Categories!$A:$A,0)))</f>
        <v>Heating, Ventilation &amp; Air Conditioning</v>
      </c>
      <c r="H1399" s="7" t="str">
        <f t="array" ref="H1399">IF(ISBLANK(E1399), "", INDEX(Categories!$B:$B,MATCH(E1399,Categories!$A:$A,0)))</f>
        <v/>
      </c>
      <c r="I1399" s="7" t="str">
        <f t="array" ref="I1399">IF(ISBLANK(F1399), "", INDEX(Categories!$B:$B,MATCH(F1399,Categories!$A:$A,0)))</f>
        <v/>
      </c>
      <c r="J1399" s="4"/>
      <c r="K1399" s="4"/>
      <c r="L1399" s="4"/>
      <c r="M1399" s="4"/>
      <c r="N1399" s="4"/>
      <c r="O1399" s="4"/>
      <c r="P1399" s="4"/>
      <c r="Q1399" s="4"/>
    </row>
    <row r="1400">
      <c r="A1400" s="5">
        <v>1399.0</v>
      </c>
      <c r="B1400" s="5" t="s">
        <v>1808</v>
      </c>
      <c r="C1400" s="5" t="s">
        <v>309</v>
      </c>
      <c r="D1400" s="6">
        <f>IFERROR(__xludf.DUMMYFUNCTION("SPLIT(MID(C1400,2,LEN(C1400)-2), "","")"),458.0)</f>
        <v>458</v>
      </c>
      <c r="E1400" s="7"/>
      <c r="F1400" s="7"/>
      <c r="G1400" s="2" t="str">
        <f t="array" ref="G1400">IF(ISBLANK(D1400), "", INDEX(Categories!$B:$B,MATCH(D1400,Categories!$A:$A,0)))</f>
        <v>Real Estate - Brokers &amp; Agents</v>
      </c>
      <c r="H1400" s="7" t="str">
        <f t="array" ref="H1400">IF(ISBLANK(E1400), "", INDEX(Categories!$B:$B,MATCH(E1400,Categories!$A:$A,0)))</f>
        <v/>
      </c>
      <c r="I1400" s="7" t="str">
        <f t="array" ref="I1400">IF(ISBLANK(F1400), "", INDEX(Categories!$B:$B,MATCH(F1400,Categories!$A:$A,0)))</f>
        <v/>
      </c>
      <c r="J1400" s="4"/>
      <c r="K1400" s="4"/>
      <c r="L1400" s="4"/>
      <c r="M1400" s="4"/>
      <c r="N1400" s="4"/>
      <c r="O1400" s="4"/>
      <c r="P1400" s="4"/>
      <c r="Q1400" s="4"/>
    </row>
    <row r="1401">
      <c r="A1401" s="5">
        <v>1400.0</v>
      </c>
      <c r="B1401" s="5" t="s">
        <v>1809</v>
      </c>
      <c r="C1401" s="5" t="s">
        <v>152</v>
      </c>
      <c r="D1401" s="6">
        <f>IFERROR(__xludf.DUMMYFUNCTION("SPLIT(MID(C1401,2,LEN(C1401)-2), "","")"),1183.0)</f>
        <v>1183</v>
      </c>
      <c r="E1401" s="7"/>
      <c r="F1401" s="7"/>
      <c r="G1401" s="2" t="str">
        <f t="array" ref="G1401">IF(ISBLANK(D1401), "", INDEX(Categories!$B:$B,MATCH(D1401,Categories!$A:$A,0)))</f>
        <v>Shipping Services</v>
      </c>
      <c r="H1401" s="7" t="str">
        <f t="array" ref="H1401">IF(ISBLANK(E1401), "", INDEX(Categories!$B:$B,MATCH(E1401,Categories!$A:$A,0)))</f>
        <v/>
      </c>
      <c r="I1401" s="7" t="str">
        <f t="array" ref="I1401">IF(ISBLANK(F1401), "", INDEX(Categories!$B:$B,MATCH(F1401,Categories!$A:$A,0)))</f>
        <v/>
      </c>
      <c r="J1401" s="4"/>
      <c r="K1401" s="4"/>
      <c r="L1401" s="4"/>
      <c r="M1401" s="4"/>
      <c r="N1401" s="4"/>
      <c r="O1401" s="4"/>
      <c r="P1401" s="4"/>
      <c r="Q1401" s="4"/>
    </row>
    <row r="1402">
      <c r="A1402" s="5">
        <v>1401.0</v>
      </c>
      <c r="B1402" s="5" t="s">
        <v>1810</v>
      </c>
      <c r="C1402" s="5" t="s">
        <v>1376</v>
      </c>
      <c r="D1402" s="6">
        <f>IFERROR(__xludf.DUMMYFUNCTION("SPLIT(MID(C1402,2,LEN(C1402)-2), "","")"),2879.0)</f>
        <v>2879</v>
      </c>
      <c r="E1402" s="7"/>
      <c r="F1402" s="7"/>
      <c r="G1402" s="2" t="str">
        <f t="array" ref="G1402">IF(ISBLANK(D1402), "", INDEX(Categories!$B:$B,MATCH(D1402,Categories!$A:$A,0)))</f>
        <v>Building Inspection Service</v>
      </c>
      <c r="H1402" s="7" t="str">
        <f t="array" ref="H1402">IF(ISBLANK(E1402), "", INDEX(Categories!$B:$B,MATCH(E1402,Categories!$A:$A,0)))</f>
        <v/>
      </c>
      <c r="I1402" s="7" t="str">
        <f t="array" ref="I1402">IF(ISBLANK(F1402), "", INDEX(Categories!$B:$B,MATCH(F1402,Categories!$A:$A,0)))</f>
        <v/>
      </c>
      <c r="J1402" s="4"/>
      <c r="K1402" s="4"/>
      <c r="L1402" s="4"/>
      <c r="M1402" s="4"/>
      <c r="N1402" s="4"/>
      <c r="O1402" s="4"/>
      <c r="P1402" s="4"/>
      <c r="Q1402" s="4"/>
    </row>
    <row r="1403">
      <c r="A1403" s="5">
        <v>1402.0</v>
      </c>
      <c r="B1403" s="5" t="s">
        <v>1811</v>
      </c>
      <c r="C1403" s="5" t="s">
        <v>309</v>
      </c>
      <c r="D1403" s="6">
        <f>IFERROR(__xludf.DUMMYFUNCTION("SPLIT(MID(C1403,2,LEN(C1403)-2), "","")"),458.0)</f>
        <v>458</v>
      </c>
      <c r="E1403" s="7"/>
      <c r="F1403" s="7"/>
      <c r="G1403" s="2" t="str">
        <f t="array" ref="G1403">IF(ISBLANK(D1403), "", INDEX(Categories!$B:$B,MATCH(D1403,Categories!$A:$A,0)))</f>
        <v>Real Estate - Brokers &amp; Agents</v>
      </c>
      <c r="H1403" s="7" t="str">
        <f t="array" ref="H1403">IF(ISBLANK(E1403), "", INDEX(Categories!$B:$B,MATCH(E1403,Categories!$A:$A,0)))</f>
        <v/>
      </c>
      <c r="I1403" s="7" t="str">
        <f t="array" ref="I1403">IF(ISBLANK(F1403), "", INDEX(Categories!$B:$B,MATCH(F1403,Categories!$A:$A,0)))</f>
        <v/>
      </c>
      <c r="J1403" s="4"/>
      <c r="K1403" s="4"/>
      <c r="L1403" s="4"/>
      <c r="M1403" s="4"/>
      <c r="N1403" s="4"/>
      <c r="O1403" s="4"/>
      <c r="P1403" s="4"/>
      <c r="Q1403" s="4"/>
    </row>
    <row r="1404">
      <c r="A1404" s="5">
        <v>1403.0</v>
      </c>
      <c r="B1404" s="5" t="s">
        <v>1812</v>
      </c>
      <c r="C1404" s="5" t="s">
        <v>1813</v>
      </c>
      <c r="D1404" s="6">
        <f>IFERROR(__xludf.DUMMYFUNCTION("SPLIT(MID(C1404,2,LEN(C1404)-2), "","")"),540.0)</f>
        <v>540</v>
      </c>
      <c r="E1404" s="7"/>
      <c r="F1404" s="7"/>
      <c r="G1404" s="2" t="str">
        <f t="array" ref="G1404">IF(ISBLANK(D1404), "", INDEX(Categories!$B:$B,MATCH(D1404,Categories!$A:$A,0)))</f>
        <v>Relocation Services</v>
      </c>
      <c r="H1404" s="7" t="str">
        <f t="array" ref="H1404">IF(ISBLANK(E1404), "", INDEX(Categories!$B:$B,MATCH(E1404,Categories!$A:$A,0)))</f>
        <v/>
      </c>
      <c r="I1404" s="7" t="str">
        <f t="array" ref="I1404">IF(ISBLANK(F1404), "", INDEX(Categories!$B:$B,MATCH(F1404,Categories!$A:$A,0)))</f>
        <v/>
      </c>
      <c r="J1404" s="4"/>
      <c r="K1404" s="4"/>
      <c r="L1404" s="4"/>
      <c r="M1404" s="4"/>
      <c r="N1404" s="4"/>
      <c r="O1404" s="4"/>
      <c r="P1404" s="4"/>
      <c r="Q1404" s="4"/>
    </row>
    <row r="1405">
      <c r="A1405" s="5">
        <v>1404.0</v>
      </c>
      <c r="B1405" s="5" t="s">
        <v>1814</v>
      </c>
      <c r="C1405" s="5" t="s">
        <v>309</v>
      </c>
      <c r="D1405" s="6">
        <f>IFERROR(__xludf.DUMMYFUNCTION("SPLIT(MID(C1405,2,LEN(C1405)-2), "","")"),458.0)</f>
        <v>458</v>
      </c>
      <c r="E1405" s="7"/>
      <c r="F1405" s="7"/>
      <c r="G1405" s="2" t="str">
        <f t="array" ref="G1405">IF(ISBLANK(D1405), "", INDEX(Categories!$B:$B,MATCH(D1405,Categories!$A:$A,0)))</f>
        <v>Real Estate - Brokers &amp; Agents</v>
      </c>
      <c r="H1405" s="7" t="str">
        <f t="array" ref="H1405">IF(ISBLANK(E1405), "", INDEX(Categories!$B:$B,MATCH(E1405,Categories!$A:$A,0)))</f>
        <v/>
      </c>
      <c r="I1405" s="7" t="str">
        <f t="array" ref="I1405">IF(ISBLANK(F1405), "", INDEX(Categories!$B:$B,MATCH(F1405,Categories!$A:$A,0)))</f>
        <v/>
      </c>
      <c r="J1405" s="4"/>
      <c r="K1405" s="4"/>
      <c r="L1405" s="4"/>
      <c r="M1405" s="4"/>
      <c r="N1405" s="4"/>
      <c r="O1405" s="4"/>
      <c r="P1405" s="4"/>
      <c r="Q1405" s="4"/>
    </row>
    <row r="1406">
      <c r="A1406" s="5">
        <v>1405.0</v>
      </c>
      <c r="B1406" s="5" t="s">
        <v>1815</v>
      </c>
      <c r="C1406" s="5" t="s">
        <v>249</v>
      </c>
      <c r="D1406" s="6">
        <f>IFERROR(__xludf.DUMMYFUNCTION("SPLIT(MID(C1406,2,LEN(C1406)-2), "","")"),593.0)</f>
        <v>593</v>
      </c>
      <c r="E1406" s="7"/>
      <c r="F1406" s="7"/>
      <c r="G1406" s="2" t="str">
        <f t="array" ref="G1406">IF(ISBLANK(D1406), "", INDEX(Categories!$B:$B,MATCH(D1406,Categories!$A:$A,0)))</f>
        <v>Ice Cream &amp; Frozen Desserts Dealers</v>
      </c>
      <c r="H1406" s="7" t="str">
        <f t="array" ref="H1406">IF(ISBLANK(E1406), "", INDEX(Categories!$B:$B,MATCH(E1406,Categories!$A:$A,0)))</f>
        <v/>
      </c>
      <c r="I1406" s="7" t="str">
        <f t="array" ref="I1406">IF(ISBLANK(F1406), "", INDEX(Categories!$B:$B,MATCH(F1406,Categories!$A:$A,0)))</f>
        <v/>
      </c>
      <c r="J1406" s="4"/>
      <c r="K1406" s="4"/>
      <c r="L1406" s="4"/>
      <c r="M1406" s="4"/>
      <c r="N1406" s="4"/>
      <c r="O1406" s="4"/>
      <c r="P1406" s="4"/>
      <c r="Q1406" s="4"/>
    </row>
    <row r="1407">
      <c r="A1407" s="5">
        <v>1406.0</v>
      </c>
      <c r="B1407" s="5" t="s">
        <v>1816</v>
      </c>
      <c r="C1407" s="5" t="s">
        <v>1200</v>
      </c>
      <c r="D1407" s="6">
        <f>IFERROR(__xludf.DUMMYFUNCTION("SPLIT(MID(C1407,2,LEN(C1407)-2), "","")"),299.0)</f>
        <v>299</v>
      </c>
      <c r="E1407" s="7"/>
      <c r="F1407" s="7"/>
      <c r="G1407" s="2" t="str">
        <f t="array" ref="G1407">IF(ISBLANK(D1407), "", INDEX(Categories!$B:$B,MATCH(D1407,Categories!$A:$A,0)))</f>
        <v>Automated Teller Machine (atm)</v>
      </c>
      <c r="H1407" s="7" t="str">
        <f t="array" ref="H1407">IF(ISBLANK(E1407), "", INDEX(Categories!$B:$B,MATCH(E1407,Categories!$A:$A,0)))</f>
        <v/>
      </c>
      <c r="I1407" s="7" t="str">
        <f t="array" ref="I1407">IF(ISBLANK(F1407), "", INDEX(Categories!$B:$B,MATCH(F1407,Categories!$A:$A,0)))</f>
        <v/>
      </c>
      <c r="J1407" s="4"/>
      <c r="K1407" s="4"/>
      <c r="L1407" s="4"/>
      <c r="M1407" s="4"/>
      <c r="N1407" s="4"/>
      <c r="O1407" s="4"/>
      <c r="P1407" s="4"/>
      <c r="Q1407" s="4"/>
    </row>
    <row r="1408">
      <c r="A1408" s="5">
        <v>1407.0</v>
      </c>
      <c r="B1408" s="5" t="s">
        <v>1817</v>
      </c>
      <c r="C1408" s="5" t="s">
        <v>1818</v>
      </c>
      <c r="D1408" s="6">
        <f>IFERROR(__xludf.DUMMYFUNCTION("SPLIT(MID(C1408,2,LEN(C1408)-2), "","")"),569.0)</f>
        <v>569</v>
      </c>
      <c r="E1408" s="7"/>
      <c r="F1408" s="7"/>
      <c r="G1408" s="2" t="str">
        <f t="array" ref="G1408">IF(ISBLANK(D1408), "", INDEX(Categories!$B:$B,MATCH(D1408,Categories!$A:$A,0)))</f>
        <v>Painting Contractors</v>
      </c>
      <c r="H1408" s="7" t="str">
        <f t="array" ref="H1408">IF(ISBLANK(E1408), "", INDEX(Categories!$B:$B,MATCH(E1408,Categories!$A:$A,0)))</f>
        <v/>
      </c>
      <c r="I1408" s="7" t="str">
        <f t="array" ref="I1408">IF(ISBLANK(F1408), "", INDEX(Categories!$B:$B,MATCH(F1408,Categories!$A:$A,0)))</f>
        <v/>
      </c>
      <c r="J1408" s="4"/>
      <c r="K1408" s="4"/>
      <c r="L1408" s="4"/>
      <c r="M1408" s="4"/>
      <c r="N1408" s="4"/>
      <c r="O1408" s="4"/>
      <c r="P1408" s="4"/>
      <c r="Q1408" s="4"/>
    </row>
    <row r="1409">
      <c r="A1409" s="5">
        <v>1408.0</v>
      </c>
      <c r="B1409" s="5" t="s">
        <v>1819</v>
      </c>
      <c r="C1409" s="5" t="s">
        <v>1507</v>
      </c>
      <c r="D1409" s="6">
        <f>IFERROR(__xludf.DUMMYFUNCTION("SPLIT(MID(C1409,2,LEN(C1409)-2), "","")"),2528.0)</f>
        <v>2528</v>
      </c>
      <c r="E1409" s="7"/>
      <c r="F1409" s="7"/>
      <c r="G1409" s="2" t="str">
        <f t="array" ref="G1409">IF(ISBLANK(D1409), "", INDEX(Categories!$B:$B,MATCH(D1409,Categories!$A:$A,0)))</f>
        <v>Cleaning Services &amp; Supplies</v>
      </c>
      <c r="H1409" s="7" t="str">
        <f t="array" ref="H1409">IF(ISBLANK(E1409), "", INDEX(Categories!$B:$B,MATCH(E1409,Categories!$A:$A,0)))</f>
        <v/>
      </c>
      <c r="I1409" s="7" t="str">
        <f t="array" ref="I1409">IF(ISBLANK(F1409), "", INDEX(Categories!$B:$B,MATCH(F1409,Categories!$A:$A,0)))</f>
        <v/>
      </c>
      <c r="J1409" s="4"/>
      <c r="K1409" s="4"/>
      <c r="L1409" s="4"/>
      <c r="M1409" s="4"/>
      <c r="N1409" s="4"/>
      <c r="O1409" s="4"/>
      <c r="P1409" s="4"/>
      <c r="Q1409" s="4"/>
    </row>
    <row r="1410">
      <c r="A1410" s="5">
        <v>1409.0</v>
      </c>
      <c r="B1410" s="5" t="s">
        <v>1820</v>
      </c>
      <c r="C1410" s="5" t="s">
        <v>240</v>
      </c>
      <c r="D1410" s="6">
        <f>IFERROR(__xludf.DUMMYFUNCTION("SPLIT(MID(C1410,2,LEN(C1410)-2), "","")"),580.0)</f>
        <v>580</v>
      </c>
      <c r="E1410" s="7"/>
      <c r="F1410" s="7"/>
      <c r="G1410" s="2" t="str">
        <f t="array" ref="G1410">IF(ISBLANK(D1410), "", INDEX(Categories!$B:$B,MATCH(D1410,Categories!$A:$A,0)))</f>
        <v>Coffee &amp; Tea Retail</v>
      </c>
      <c r="H1410" s="7" t="str">
        <f t="array" ref="H1410">IF(ISBLANK(E1410), "", INDEX(Categories!$B:$B,MATCH(E1410,Categories!$A:$A,0)))</f>
        <v/>
      </c>
      <c r="I1410" s="7" t="str">
        <f t="array" ref="I1410">IF(ISBLANK(F1410), "", INDEX(Categories!$B:$B,MATCH(F1410,Categories!$A:$A,0)))</f>
        <v/>
      </c>
      <c r="J1410" s="4"/>
      <c r="K1410" s="4"/>
      <c r="L1410" s="4"/>
      <c r="M1410" s="4"/>
      <c r="N1410" s="4"/>
      <c r="O1410" s="4"/>
      <c r="P1410" s="4"/>
      <c r="Q1410" s="4"/>
    </row>
    <row r="1411">
      <c r="A1411" s="5">
        <v>1410.0</v>
      </c>
      <c r="B1411" s="5" t="s">
        <v>1821</v>
      </c>
      <c r="C1411" s="5" t="s">
        <v>382</v>
      </c>
      <c r="D1411" s="6">
        <f>IFERROR(__xludf.DUMMYFUNCTION("SPLIT(MID(C1411,2,LEN(C1411)-2), "","")"),1598.0)</f>
        <v>1598</v>
      </c>
      <c r="E1411" s="7"/>
      <c r="F1411" s="7"/>
      <c r="G1411" s="2" t="str">
        <f t="array" ref="G1411">IF(ISBLANK(D1411), "", INDEX(Categories!$B:$B,MATCH(D1411,Categories!$A:$A,0)))</f>
        <v>Adult Care Facilities</v>
      </c>
      <c r="H1411" s="7" t="str">
        <f t="array" ref="H1411">IF(ISBLANK(E1411), "", INDEX(Categories!$B:$B,MATCH(E1411,Categories!$A:$A,0)))</f>
        <v/>
      </c>
      <c r="I1411" s="7" t="str">
        <f t="array" ref="I1411">IF(ISBLANK(F1411), "", INDEX(Categories!$B:$B,MATCH(F1411,Categories!$A:$A,0)))</f>
        <v/>
      </c>
      <c r="J1411" s="4"/>
      <c r="K1411" s="4"/>
      <c r="L1411" s="4"/>
      <c r="M1411" s="4"/>
      <c r="N1411" s="4"/>
      <c r="O1411" s="4"/>
      <c r="P1411" s="4"/>
      <c r="Q1411" s="4"/>
    </row>
    <row r="1412">
      <c r="A1412" s="5">
        <v>1411.0</v>
      </c>
      <c r="B1412" s="5" t="s">
        <v>1822</v>
      </c>
      <c r="C1412" s="5" t="s">
        <v>665</v>
      </c>
      <c r="D1412" s="6">
        <f>IFERROR(__xludf.DUMMYFUNCTION("SPLIT(MID(C1412,2,LEN(C1412)-2), "","")"),582.0)</f>
        <v>582</v>
      </c>
      <c r="E1412" s="7"/>
      <c r="F1412" s="7"/>
      <c r="G1412" s="2" t="str">
        <f t="array" ref="G1412">IF(ISBLANK(D1412), "", INDEX(Categories!$B:$B,MATCH(D1412,Categories!$A:$A,0)))</f>
        <v>Cookies &amp; Crackers</v>
      </c>
      <c r="H1412" s="7" t="str">
        <f t="array" ref="H1412">IF(ISBLANK(E1412), "", INDEX(Categories!$B:$B,MATCH(E1412,Categories!$A:$A,0)))</f>
        <v/>
      </c>
      <c r="I1412" s="7" t="str">
        <f t="array" ref="I1412">IF(ISBLANK(F1412), "", INDEX(Categories!$B:$B,MATCH(F1412,Categories!$A:$A,0)))</f>
        <v/>
      </c>
      <c r="J1412" s="4"/>
      <c r="K1412" s="4"/>
      <c r="L1412" s="4"/>
      <c r="M1412" s="4"/>
      <c r="N1412" s="4"/>
      <c r="O1412" s="4"/>
      <c r="P1412" s="4"/>
      <c r="Q1412" s="4"/>
    </row>
    <row r="1413">
      <c r="A1413" s="5">
        <v>1412.0</v>
      </c>
      <c r="B1413" s="5" t="s">
        <v>1823</v>
      </c>
      <c r="C1413" s="5" t="s">
        <v>1364</v>
      </c>
      <c r="D1413" s="6">
        <f>IFERROR(__xludf.DUMMYFUNCTION("SPLIT(MID(C1413,2,LEN(C1413)-2), "","")"),2543.0)</f>
        <v>2543</v>
      </c>
      <c r="E1413" s="7"/>
      <c r="F1413" s="7"/>
      <c r="G1413" s="2" t="str">
        <f t="array" ref="G1413">IF(ISBLANK(D1413), "", INDEX(Categories!$B:$B,MATCH(D1413,Categories!$A:$A,0)))</f>
        <v>Cleaning House &amp; Office</v>
      </c>
      <c r="H1413" s="7" t="str">
        <f t="array" ref="H1413">IF(ISBLANK(E1413), "", INDEX(Categories!$B:$B,MATCH(E1413,Categories!$A:$A,0)))</f>
        <v/>
      </c>
      <c r="I1413" s="7" t="str">
        <f t="array" ref="I1413">IF(ISBLANK(F1413), "", INDEX(Categories!$B:$B,MATCH(F1413,Categories!$A:$A,0)))</f>
        <v/>
      </c>
      <c r="J1413" s="4"/>
      <c r="K1413" s="4"/>
      <c r="L1413" s="4"/>
      <c r="M1413" s="4"/>
      <c r="N1413" s="4"/>
      <c r="O1413" s="4"/>
      <c r="P1413" s="4"/>
      <c r="Q1413" s="4"/>
    </row>
    <row r="1414">
      <c r="A1414" s="5">
        <v>1413.0</v>
      </c>
      <c r="B1414" s="5" t="s">
        <v>1824</v>
      </c>
      <c r="C1414" s="5" t="s">
        <v>1825</v>
      </c>
      <c r="D1414" s="6">
        <f>IFERROR(__xludf.DUMMYFUNCTION("SPLIT(MID(C1414,2,LEN(C1414)-2), "","")"),1454.0)</f>
        <v>1454</v>
      </c>
      <c r="E1414" s="7"/>
      <c r="F1414" s="7"/>
      <c r="G1414" s="2" t="str">
        <f t="array" ref="G1414">IF(ISBLANK(D1414), "", INDEX(Categories!$B:$B,MATCH(D1414,Categories!$A:$A,0)))</f>
        <v>Trophies Medals &amp; Awards</v>
      </c>
      <c r="H1414" s="7" t="str">
        <f t="array" ref="H1414">IF(ISBLANK(E1414), "", INDEX(Categories!$B:$B,MATCH(E1414,Categories!$A:$A,0)))</f>
        <v/>
      </c>
      <c r="I1414" s="7" t="str">
        <f t="array" ref="I1414">IF(ISBLANK(F1414), "", INDEX(Categories!$B:$B,MATCH(F1414,Categories!$A:$A,0)))</f>
        <v/>
      </c>
      <c r="J1414" s="4"/>
      <c r="K1414" s="4"/>
      <c r="L1414" s="4"/>
      <c r="M1414" s="4"/>
      <c r="N1414" s="4"/>
      <c r="O1414" s="4"/>
      <c r="P1414" s="4"/>
      <c r="Q1414" s="4"/>
    </row>
    <row r="1415">
      <c r="A1415" s="5">
        <v>1414.0</v>
      </c>
      <c r="B1415" s="5" t="s">
        <v>1826</v>
      </c>
      <c r="C1415" s="5" t="s">
        <v>315</v>
      </c>
      <c r="D1415" s="6">
        <f>IFERROR(__xludf.DUMMYFUNCTION("SPLIT(MID(C1415,2,LEN(C1415)-2), "","")"),2573.0)</f>
        <v>2573</v>
      </c>
      <c r="E1415" s="7"/>
      <c r="F1415" s="7"/>
      <c r="G1415" s="2" t="str">
        <f t="array" ref="G1415">IF(ISBLANK(D1415), "", INDEX(Categories!$B:$B,MATCH(D1415,Categories!$A:$A,0)))</f>
        <v>Interior Decorators &amp; Designers</v>
      </c>
      <c r="H1415" s="7" t="str">
        <f t="array" ref="H1415">IF(ISBLANK(E1415), "", INDEX(Categories!$B:$B,MATCH(E1415,Categories!$A:$A,0)))</f>
        <v/>
      </c>
      <c r="I1415" s="7" t="str">
        <f t="array" ref="I1415">IF(ISBLANK(F1415), "", INDEX(Categories!$B:$B,MATCH(F1415,Categories!$A:$A,0)))</f>
        <v/>
      </c>
      <c r="J1415" s="4"/>
      <c r="K1415" s="4"/>
      <c r="L1415" s="4"/>
      <c r="M1415" s="4"/>
      <c r="N1415" s="4"/>
      <c r="O1415" s="4"/>
      <c r="P1415" s="4"/>
      <c r="Q1415" s="4"/>
    </row>
    <row r="1416">
      <c r="A1416" s="5">
        <v>1415.0</v>
      </c>
      <c r="B1416" s="5" t="s">
        <v>1827</v>
      </c>
      <c r="C1416" s="5" t="s">
        <v>1828</v>
      </c>
      <c r="D1416" s="6">
        <f>IFERROR(__xludf.DUMMYFUNCTION("SPLIT(MID(C1416,2,LEN(C1416)-2), "","")"),2069.0)</f>
        <v>2069</v>
      </c>
      <c r="E1416" s="7"/>
      <c r="F1416" s="7"/>
      <c r="G1416" s="2" t="str">
        <f t="array" ref="G1416">IF(ISBLANK(D1416), "", INDEX(Categories!$B:$B,MATCH(D1416,Categories!$A:$A,0)))</f>
        <v>Music Instruction</v>
      </c>
      <c r="H1416" s="7" t="str">
        <f t="array" ref="H1416">IF(ISBLANK(E1416), "", INDEX(Categories!$B:$B,MATCH(E1416,Categories!$A:$A,0)))</f>
        <v/>
      </c>
      <c r="I1416" s="7" t="str">
        <f t="array" ref="I1416">IF(ISBLANK(F1416), "", INDEX(Categories!$B:$B,MATCH(F1416,Categories!$A:$A,0)))</f>
        <v/>
      </c>
      <c r="J1416" s="4"/>
      <c r="K1416" s="4"/>
      <c r="L1416" s="4"/>
      <c r="M1416" s="4"/>
      <c r="N1416" s="4"/>
      <c r="O1416" s="4"/>
      <c r="P1416" s="4"/>
      <c r="Q1416" s="4"/>
    </row>
    <row r="1417">
      <c r="A1417" s="5">
        <v>1416.0</v>
      </c>
      <c r="B1417" s="5" t="s">
        <v>1829</v>
      </c>
      <c r="C1417" s="5" t="s">
        <v>1392</v>
      </c>
      <c r="D1417" s="6">
        <f>IFERROR(__xludf.DUMMYFUNCTION("SPLIT(MID(C1417,2,LEN(C1417)-2), "","")"),2298.0)</f>
        <v>2298</v>
      </c>
      <c r="E1417" s="7"/>
      <c r="F1417" s="7"/>
      <c r="G1417" s="2" t="str">
        <f t="array" ref="G1417">IF(ISBLANK(D1417), "", INDEX(Categories!$B:$B,MATCH(D1417,Categories!$A:$A,0)))</f>
        <v>Contractors - Deck &amp; Patio</v>
      </c>
      <c r="H1417" s="7" t="str">
        <f t="array" ref="H1417">IF(ISBLANK(E1417), "", INDEX(Categories!$B:$B,MATCH(E1417,Categories!$A:$A,0)))</f>
        <v/>
      </c>
      <c r="I1417" s="7" t="str">
        <f t="array" ref="I1417">IF(ISBLANK(F1417), "", INDEX(Categories!$B:$B,MATCH(F1417,Categories!$A:$A,0)))</f>
        <v/>
      </c>
      <c r="J1417" s="4"/>
      <c r="K1417" s="4"/>
      <c r="L1417" s="4"/>
      <c r="M1417" s="4"/>
      <c r="N1417" s="4"/>
      <c r="O1417" s="4"/>
      <c r="P1417" s="4"/>
      <c r="Q1417" s="4"/>
    </row>
    <row r="1418">
      <c r="A1418" s="5">
        <v>1417.0</v>
      </c>
      <c r="B1418" s="5" t="s">
        <v>1830</v>
      </c>
      <c r="C1418" s="5" t="s">
        <v>58</v>
      </c>
      <c r="D1418" s="6">
        <f>IFERROR(__xludf.DUMMYFUNCTION("SPLIT(MID(C1418,2,LEN(C1418)-2), "","")"),1170.0)</f>
        <v>1170</v>
      </c>
      <c r="E1418" s="7"/>
      <c r="F1418" s="7"/>
      <c r="G1418" s="2" t="str">
        <f t="array" ref="G1418">IF(ISBLANK(D1418), "", INDEX(Categories!$B:$B,MATCH(D1418,Categories!$A:$A,0)))</f>
        <v>Gasoline Retail</v>
      </c>
      <c r="H1418" s="7" t="str">
        <f t="array" ref="H1418">IF(ISBLANK(E1418), "", INDEX(Categories!$B:$B,MATCH(E1418,Categories!$A:$A,0)))</f>
        <v/>
      </c>
      <c r="I1418" s="7" t="str">
        <f t="array" ref="I1418">IF(ISBLANK(F1418), "", INDEX(Categories!$B:$B,MATCH(F1418,Categories!$A:$A,0)))</f>
        <v/>
      </c>
      <c r="J1418" s="4"/>
      <c r="K1418" s="4"/>
      <c r="L1418" s="4"/>
      <c r="M1418" s="4"/>
      <c r="N1418" s="4"/>
      <c r="O1418" s="4"/>
      <c r="P1418" s="4"/>
      <c r="Q1418" s="4"/>
    </row>
    <row r="1419">
      <c r="A1419" s="5">
        <v>1418.0</v>
      </c>
      <c r="B1419" s="5" t="s">
        <v>1831</v>
      </c>
      <c r="C1419" s="5" t="s">
        <v>1478</v>
      </c>
      <c r="D1419" s="6">
        <f>IFERROR(__xludf.DUMMYFUNCTION("SPLIT(MID(C1419,2,LEN(C1419)-2), "","")"),1990.0)</f>
        <v>1990</v>
      </c>
      <c r="E1419" s="7"/>
      <c r="F1419" s="7"/>
      <c r="G1419" s="2" t="str">
        <f t="array" ref="G1419">IF(ISBLANK(D1419), "", INDEX(Categories!$B:$B,MATCH(D1419,Categories!$A:$A,0)))</f>
        <v>Schools Private</v>
      </c>
      <c r="H1419" s="7" t="str">
        <f t="array" ref="H1419">IF(ISBLANK(E1419), "", INDEX(Categories!$B:$B,MATCH(E1419,Categories!$A:$A,0)))</f>
        <v/>
      </c>
      <c r="I1419" s="7" t="str">
        <f t="array" ref="I1419">IF(ISBLANK(F1419), "", INDEX(Categories!$B:$B,MATCH(F1419,Categories!$A:$A,0)))</f>
        <v/>
      </c>
      <c r="J1419" s="4"/>
      <c r="K1419" s="4"/>
      <c r="L1419" s="4"/>
      <c r="M1419" s="4"/>
      <c r="N1419" s="4"/>
      <c r="O1419" s="4"/>
      <c r="P1419" s="4"/>
      <c r="Q1419" s="4"/>
    </row>
    <row r="1420">
      <c r="A1420" s="5">
        <v>1419.0</v>
      </c>
      <c r="B1420" s="5" t="s">
        <v>1832</v>
      </c>
      <c r="C1420" s="5" t="s">
        <v>730</v>
      </c>
      <c r="D1420" s="6">
        <f>IFERROR(__xludf.DUMMYFUNCTION("SPLIT(MID(C1420,2,LEN(C1420)-2), "","")"),2765.0)</f>
        <v>2765</v>
      </c>
      <c r="E1420" s="7"/>
      <c r="F1420" s="7"/>
      <c r="G1420" s="2" t="str">
        <f t="array" ref="G1420">IF(ISBLANK(D1420), "", INDEX(Categories!$B:$B,MATCH(D1420,Categories!$A:$A,0)))</f>
        <v>Miscellaneous Business Services</v>
      </c>
      <c r="H1420" s="7" t="str">
        <f t="array" ref="H1420">IF(ISBLANK(E1420), "", INDEX(Categories!$B:$B,MATCH(E1420,Categories!$A:$A,0)))</f>
        <v/>
      </c>
      <c r="I1420" s="7" t="str">
        <f t="array" ref="I1420">IF(ISBLANK(F1420), "", INDEX(Categories!$B:$B,MATCH(F1420,Categories!$A:$A,0)))</f>
        <v/>
      </c>
      <c r="J1420" s="4"/>
      <c r="K1420" s="4"/>
      <c r="L1420" s="4"/>
      <c r="M1420" s="4"/>
      <c r="N1420" s="4"/>
      <c r="O1420" s="4"/>
      <c r="P1420" s="4"/>
      <c r="Q1420" s="4"/>
    </row>
    <row r="1421">
      <c r="A1421" s="5">
        <v>1420.0</v>
      </c>
      <c r="B1421" s="5" t="s">
        <v>1833</v>
      </c>
      <c r="C1421" s="5" t="s">
        <v>62</v>
      </c>
      <c r="D1421" s="6">
        <f>IFERROR(__xludf.DUMMYFUNCTION("SPLIT(MID(C1421,2,LEN(C1421)-2), "","")"),242.0)</f>
        <v>242</v>
      </c>
      <c r="E1421" s="7"/>
      <c r="F1421" s="7"/>
      <c r="G1421" s="2" t="str">
        <f t="array" ref="G1421">IF(ISBLANK(D1421), "", INDEX(Categories!$B:$B,MATCH(D1421,Categories!$A:$A,0)))</f>
        <v>Restaurants Pizza</v>
      </c>
      <c r="H1421" s="7" t="str">
        <f t="array" ref="H1421">IF(ISBLANK(E1421), "", INDEX(Categories!$B:$B,MATCH(E1421,Categories!$A:$A,0)))</f>
        <v/>
      </c>
      <c r="I1421" s="7" t="str">
        <f t="array" ref="I1421">IF(ISBLANK(F1421), "", INDEX(Categories!$B:$B,MATCH(F1421,Categories!$A:$A,0)))</f>
        <v/>
      </c>
      <c r="J1421" s="4"/>
      <c r="K1421" s="4"/>
      <c r="L1421" s="4"/>
      <c r="M1421" s="4"/>
      <c r="N1421" s="4"/>
      <c r="O1421" s="4"/>
      <c r="P1421" s="4"/>
      <c r="Q1421" s="4"/>
    </row>
    <row r="1422">
      <c r="A1422" s="5">
        <v>1421.0</v>
      </c>
      <c r="B1422" s="5" t="s">
        <v>1834</v>
      </c>
      <c r="C1422" s="5" t="s">
        <v>69</v>
      </c>
      <c r="D1422" s="6">
        <f>IFERROR(__xludf.DUMMYFUNCTION("SPLIT(MID(C1422,2,LEN(C1422)-2), "","")"),293.0)</f>
        <v>293</v>
      </c>
      <c r="E1422" s="7"/>
      <c r="F1422" s="7"/>
      <c r="G1422" s="2" t="str">
        <f t="array" ref="G1422">IF(ISBLANK(D1422), "", INDEX(Categories!$B:$B,MATCH(D1422,Categories!$A:$A,0)))</f>
        <v>Banks Commercial</v>
      </c>
      <c r="H1422" s="7" t="str">
        <f t="array" ref="H1422">IF(ISBLANK(E1422), "", INDEX(Categories!$B:$B,MATCH(E1422,Categories!$A:$A,0)))</f>
        <v/>
      </c>
      <c r="I1422" s="7" t="str">
        <f t="array" ref="I1422">IF(ISBLANK(F1422), "", INDEX(Categories!$B:$B,MATCH(F1422,Categories!$A:$A,0)))</f>
        <v/>
      </c>
      <c r="J1422" s="4"/>
      <c r="K1422" s="4"/>
      <c r="L1422" s="4"/>
      <c r="M1422" s="4"/>
      <c r="N1422" s="4"/>
      <c r="O1422" s="4"/>
      <c r="P1422" s="4"/>
      <c r="Q1422" s="4"/>
    </row>
    <row r="1423">
      <c r="A1423" s="5">
        <v>1422.0</v>
      </c>
      <c r="B1423" s="5" t="s">
        <v>1835</v>
      </c>
      <c r="C1423" s="5" t="s">
        <v>1836</v>
      </c>
      <c r="D1423" s="6">
        <f>IFERROR(__xludf.DUMMYFUNCTION("SPLIT(MID(C1423,2,LEN(C1423)-2), "","")"),2614.0)</f>
        <v>2614</v>
      </c>
      <c r="E1423" s="7"/>
      <c r="F1423" s="7"/>
      <c r="G1423" s="2" t="str">
        <f t="array" ref="G1423">IF(ISBLANK(D1423), "", INDEX(Categories!$B:$B,MATCH(D1423,Categories!$A:$A,0)))</f>
        <v>Cabinet Makers</v>
      </c>
      <c r="H1423" s="7" t="str">
        <f t="array" ref="H1423">IF(ISBLANK(E1423), "", INDEX(Categories!$B:$B,MATCH(E1423,Categories!$A:$A,0)))</f>
        <v/>
      </c>
      <c r="I1423" s="7" t="str">
        <f t="array" ref="I1423">IF(ISBLANK(F1423), "", INDEX(Categories!$B:$B,MATCH(F1423,Categories!$A:$A,0)))</f>
        <v/>
      </c>
      <c r="J1423" s="4"/>
      <c r="K1423" s="4"/>
      <c r="L1423" s="4"/>
      <c r="M1423" s="4"/>
      <c r="N1423" s="4"/>
      <c r="O1423" s="4"/>
      <c r="P1423" s="4"/>
      <c r="Q1423" s="4"/>
    </row>
    <row r="1424">
      <c r="A1424" s="5">
        <v>1423.0</v>
      </c>
      <c r="B1424" s="5" t="s">
        <v>1837</v>
      </c>
      <c r="C1424" s="5" t="s">
        <v>102</v>
      </c>
      <c r="D1424" s="6">
        <f>IFERROR(__xludf.DUMMYFUNCTION("SPLIT(MID(C1424,2,LEN(C1424)-2), "","")"),298.0)</f>
        <v>298</v>
      </c>
      <c r="E1424" s="7"/>
      <c r="F1424" s="7"/>
      <c r="G1424" s="2" t="str">
        <f t="array" ref="G1424">IF(ISBLANK(D1424), "", INDEX(Categories!$B:$B,MATCH(D1424,Categories!$A:$A,0)))</f>
        <v>Financial Services</v>
      </c>
      <c r="H1424" s="7" t="str">
        <f t="array" ref="H1424">IF(ISBLANK(E1424), "", INDEX(Categories!$B:$B,MATCH(E1424,Categories!$A:$A,0)))</f>
        <v/>
      </c>
      <c r="I1424" s="7" t="str">
        <f t="array" ref="I1424">IF(ISBLANK(F1424), "", INDEX(Categories!$B:$B,MATCH(F1424,Categories!$A:$A,0)))</f>
        <v/>
      </c>
      <c r="J1424" s="4"/>
      <c r="K1424" s="4"/>
      <c r="L1424" s="4"/>
      <c r="M1424" s="4"/>
      <c r="N1424" s="4"/>
      <c r="O1424" s="4"/>
      <c r="P1424" s="4"/>
      <c r="Q1424" s="4"/>
    </row>
    <row r="1425">
      <c r="A1425" s="5">
        <v>1424.0</v>
      </c>
      <c r="B1425" s="5" t="s">
        <v>1838</v>
      </c>
      <c r="C1425" s="5" t="s">
        <v>1390</v>
      </c>
      <c r="D1425" s="6">
        <f>IFERROR(__xludf.DUMMYFUNCTION("SPLIT(MID(C1425,2,LEN(C1425)-2), "","")"),1064.0)</f>
        <v>1064</v>
      </c>
      <c r="E1425" s="7"/>
      <c r="F1425" s="7"/>
      <c r="G1425" s="2" t="str">
        <f t="array" ref="G1425">IF(ISBLANK(D1425), "", INDEX(Categories!$B:$B,MATCH(D1425,Categories!$A:$A,0)))</f>
        <v>Handyman Services</v>
      </c>
      <c r="H1425" s="7" t="str">
        <f t="array" ref="H1425">IF(ISBLANK(E1425), "", INDEX(Categories!$B:$B,MATCH(E1425,Categories!$A:$A,0)))</f>
        <v/>
      </c>
      <c r="I1425" s="7" t="str">
        <f t="array" ref="I1425">IF(ISBLANK(F1425), "", INDEX(Categories!$B:$B,MATCH(F1425,Categories!$A:$A,0)))</f>
        <v/>
      </c>
      <c r="J1425" s="4"/>
      <c r="K1425" s="4"/>
      <c r="L1425" s="4"/>
      <c r="M1425" s="4"/>
      <c r="N1425" s="4"/>
      <c r="O1425" s="4"/>
      <c r="P1425" s="4"/>
      <c r="Q1425" s="4"/>
    </row>
    <row r="1426">
      <c r="A1426" s="5">
        <v>1425.0</v>
      </c>
      <c r="B1426" s="5" t="s">
        <v>1839</v>
      </c>
      <c r="C1426" s="5" t="s">
        <v>14</v>
      </c>
      <c r="D1426" s="6">
        <f>IFERROR(__xludf.DUMMYFUNCTION("SPLIT(MID(C1426,2,LEN(C1426)-2), "","")"),1065.0)</f>
        <v>1065</v>
      </c>
      <c r="E1426" s="7"/>
      <c r="F1426" s="7"/>
      <c r="G1426" s="2" t="str">
        <f t="array" ref="G1426">IF(ISBLANK(D1426), "", INDEX(Categories!$B:$B,MATCH(D1426,Categories!$A:$A,0)))</f>
        <v>Hardware</v>
      </c>
      <c r="H1426" s="7" t="str">
        <f t="array" ref="H1426">IF(ISBLANK(E1426), "", INDEX(Categories!$B:$B,MATCH(E1426,Categories!$A:$A,0)))</f>
        <v/>
      </c>
      <c r="I1426" s="7" t="str">
        <f t="array" ref="I1426">IF(ISBLANK(F1426), "", INDEX(Categories!$B:$B,MATCH(F1426,Categories!$A:$A,0)))</f>
        <v/>
      </c>
      <c r="J1426" s="4"/>
      <c r="K1426" s="4"/>
      <c r="L1426" s="4"/>
      <c r="M1426" s="4"/>
      <c r="N1426" s="4"/>
      <c r="O1426" s="4"/>
      <c r="P1426" s="4"/>
      <c r="Q1426" s="4"/>
    </row>
    <row r="1427">
      <c r="A1427" s="5">
        <v>1426.0</v>
      </c>
      <c r="B1427" s="5" t="s">
        <v>1840</v>
      </c>
      <c r="C1427" s="5" t="s">
        <v>18</v>
      </c>
      <c r="D1427" s="6">
        <f>IFERROR(__xludf.DUMMYFUNCTION("SPLIT(MID(C1427,2,LEN(C1427)-2), "","")"),121.0)</f>
        <v>121</v>
      </c>
      <c r="E1427" s="7"/>
      <c r="F1427" s="7"/>
      <c r="G1427" s="2" t="str">
        <f t="array" ref="G1427">IF(ISBLANK(D1427), "", INDEX(Categories!$B:$B,MATCH(D1427,Categories!$A:$A,0)))</f>
        <v>Insurance</v>
      </c>
      <c r="H1427" s="7" t="str">
        <f t="array" ref="H1427">IF(ISBLANK(E1427), "", INDEX(Categories!$B:$B,MATCH(E1427,Categories!$A:$A,0)))</f>
        <v/>
      </c>
      <c r="I1427" s="7" t="str">
        <f t="array" ref="I1427">IF(ISBLANK(F1427), "", INDEX(Categories!$B:$B,MATCH(F1427,Categories!$A:$A,0)))</f>
        <v/>
      </c>
      <c r="J1427" s="4"/>
      <c r="K1427" s="4"/>
      <c r="L1427" s="4"/>
      <c r="M1427" s="4"/>
      <c r="N1427" s="4"/>
      <c r="O1427" s="4"/>
      <c r="P1427" s="4"/>
      <c r="Q1427" s="4"/>
    </row>
    <row r="1428">
      <c r="A1428" s="5">
        <v>1427.0</v>
      </c>
      <c r="B1428" s="5" t="s">
        <v>1841</v>
      </c>
      <c r="C1428" s="5" t="s">
        <v>309</v>
      </c>
      <c r="D1428" s="6">
        <f>IFERROR(__xludf.DUMMYFUNCTION("SPLIT(MID(C1428,2,LEN(C1428)-2), "","")"),458.0)</f>
        <v>458</v>
      </c>
      <c r="E1428" s="7"/>
      <c r="F1428" s="7"/>
      <c r="G1428" s="2" t="str">
        <f t="array" ref="G1428">IF(ISBLANK(D1428), "", INDEX(Categories!$B:$B,MATCH(D1428,Categories!$A:$A,0)))</f>
        <v>Real Estate - Brokers &amp; Agents</v>
      </c>
      <c r="H1428" s="7" t="str">
        <f t="array" ref="H1428">IF(ISBLANK(E1428), "", INDEX(Categories!$B:$B,MATCH(E1428,Categories!$A:$A,0)))</f>
        <v/>
      </c>
      <c r="I1428" s="7" t="str">
        <f t="array" ref="I1428">IF(ISBLANK(F1428), "", INDEX(Categories!$B:$B,MATCH(F1428,Categories!$A:$A,0)))</f>
        <v/>
      </c>
      <c r="J1428" s="4"/>
      <c r="K1428" s="4"/>
      <c r="L1428" s="4"/>
      <c r="M1428" s="4"/>
      <c r="N1428" s="4"/>
      <c r="O1428" s="4"/>
      <c r="P1428" s="4"/>
      <c r="Q1428" s="4"/>
    </row>
    <row r="1429">
      <c r="A1429" s="5">
        <v>1428.0</v>
      </c>
      <c r="B1429" s="5" t="s">
        <v>1842</v>
      </c>
      <c r="C1429" s="5" t="s">
        <v>309</v>
      </c>
      <c r="D1429" s="6">
        <f>IFERROR(__xludf.DUMMYFUNCTION("SPLIT(MID(C1429,2,LEN(C1429)-2), "","")"),458.0)</f>
        <v>458</v>
      </c>
      <c r="E1429" s="7"/>
      <c r="F1429" s="7"/>
      <c r="G1429" s="2" t="str">
        <f t="array" ref="G1429">IF(ISBLANK(D1429), "", INDEX(Categories!$B:$B,MATCH(D1429,Categories!$A:$A,0)))</f>
        <v>Real Estate - Brokers &amp; Agents</v>
      </c>
      <c r="H1429" s="7" t="str">
        <f t="array" ref="H1429">IF(ISBLANK(E1429), "", INDEX(Categories!$B:$B,MATCH(E1429,Categories!$A:$A,0)))</f>
        <v/>
      </c>
      <c r="I1429" s="7" t="str">
        <f t="array" ref="I1429">IF(ISBLANK(F1429), "", INDEX(Categories!$B:$B,MATCH(F1429,Categories!$A:$A,0)))</f>
        <v/>
      </c>
      <c r="J1429" s="4"/>
      <c r="K1429" s="4"/>
      <c r="L1429" s="4"/>
      <c r="M1429" s="4"/>
      <c r="N1429" s="4"/>
      <c r="O1429" s="4"/>
      <c r="P1429" s="4"/>
      <c r="Q1429" s="4"/>
    </row>
    <row r="1430">
      <c r="A1430" s="5">
        <v>1429.0</v>
      </c>
      <c r="B1430" s="5" t="s">
        <v>1843</v>
      </c>
      <c r="C1430" s="5" t="s">
        <v>87</v>
      </c>
      <c r="D1430" s="6">
        <f>IFERROR(__xludf.DUMMYFUNCTION("SPLIT(MID(C1430,2,LEN(C1430)-2), "","")"),168.0)</f>
        <v>168</v>
      </c>
      <c r="E1430" s="7"/>
      <c r="F1430" s="7"/>
      <c r="G1430" s="2" t="str">
        <f t="array" ref="G1430">IF(ISBLANK(D1430), "", INDEX(Categories!$B:$B,MATCH(D1430,Categories!$A:$A,0)))</f>
        <v>Hotels &amp; Motels</v>
      </c>
      <c r="H1430" s="7" t="str">
        <f t="array" ref="H1430">IF(ISBLANK(E1430), "", INDEX(Categories!$B:$B,MATCH(E1430,Categories!$A:$A,0)))</f>
        <v/>
      </c>
      <c r="I1430" s="7" t="str">
        <f t="array" ref="I1430">IF(ISBLANK(F1430), "", INDEX(Categories!$B:$B,MATCH(F1430,Categories!$A:$A,0)))</f>
        <v/>
      </c>
      <c r="J1430" s="4"/>
      <c r="K1430" s="4"/>
      <c r="L1430" s="4"/>
      <c r="M1430" s="4"/>
      <c r="N1430" s="4"/>
      <c r="O1430" s="4"/>
      <c r="P1430" s="4"/>
      <c r="Q1430" s="4"/>
    </row>
    <row r="1431">
      <c r="A1431" s="5">
        <v>1430.0</v>
      </c>
      <c r="B1431" s="5" t="s">
        <v>1844</v>
      </c>
      <c r="C1431" s="5" t="s">
        <v>34</v>
      </c>
      <c r="D1431" s="6">
        <f>IFERROR(__xludf.DUMMYFUNCTION("SPLIT(MID(C1431,2,LEN(C1431)-2), "","")"),228.0)</f>
        <v>228</v>
      </c>
      <c r="E1431" s="7"/>
      <c r="F1431" s="7"/>
      <c r="G1431" s="2" t="str">
        <f t="array" ref="G1431">IF(ISBLANK(D1431), "", INDEX(Categories!$B:$B,MATCH(D1431,Categories!$A:$A,0)))</f>
        <v>Restaurants</v>
      </c>
      <c r="H1431" s="7" t="str">
        <f t="array" ref="H1431">IF(ISBLANK(E1431), "", INDEX(Categories!$B:$B,MATCH(E1431,Categories!$A:$A,0)))</f>
        <v/>
      </c>
      <c r="I1431" s="7" t="str">
        <f t="array" ref="I1431">IF(ISBLANK(F1431), "", INDEX(Categories!$B:$B,MATCH(F1431,Categories!$A:$A,0)))</f>
        <v/>
      </c>
      <c r="J1431" s="4"/>
      <c r="K1431" s="4"/>
      <c r="L1431" s="4"/>
      <c r="M1431" s="4"/>
      <c r="N1431" s="4"/>
      <c r="O1431" s="4"/>
      <c r="P1431" s="4"/>
      <c r="Q1431" s="4"/>
    </row>
    <row r="1432">
      <c r="A1432" s="5">
        <v>1431.0</v>
      </c>
      <c r="B1432" s="5" t="s">
        <v>1845</v>
      </c>
      <c r="C1432" s="5" t="s">
        <v>1376</v>
      </c>
      <c r="D1432" s="6">
        <f>IFERROR(__xludf.DUMMYFUNCTION("SPLIT(MID(C1432,2,LEN(C1432)-2), "","")"),2879.0)</f>
        <v>2879</v>
      </c>
      <c r="E1432" s="7"/>
      <c r="F1432" s="7"/>
      <c r="G1432" s="2" t="str">
        <f t="array" ref="G1432">IF(ISBLANK(D1432), "", INDEX(Categories!$B:$B,MATCH(D1432,Categories!$A:$A,0)))</f>
        <v>Building Inspection Service</v>
      </c>
      <c r="H1432" s="7" t="str">
        <f t="array" ref="H1432">IF(ISBLANK(E1432), "", INDEX(Categories!$B:$B,MATCH(E1432,Categories!$A:$A,0)))</f>
        <v/>
      </c>
      <c r="I1432" s="7" t="str">
        <f t="array" ref="I1432">IF(ISBLANK(F1432), "", INDEX(Categories!$B:$B,MATCH(F1432,Categories!$A:$A,0)))</f>
        <v/>
      </c>
      <c r="J1432" s="4"/>
      <c r="K1432" s="4"/>
      <c r="L1432" s="4"/>
      <c r="M1432" s="4"/>
      <c r="N1432" s="4"/>
      <c r="O1432" s="4"/>
      <c r="P1432" s="4"/>
      <c r="Q1432" s="4"/>
    </row>
    <row r="1433">
      <c r="A1433" s="5">
        <v>1432.0</v>
      </c>
      <c r="B1433" s="5" t="s">
        <v>1846</v>
      </c>
      <c r="C1433" s="5" t="s">
        <v>1273</v>
      </c>
      <c r="D1433" s="6">
        <f>IFERROR(__xludf.DUMMYFUNCTION("SPLIT(MID(C1433,2,LEN(C1433)-2), "","")"),690.0)</f>
        <v>690</v>
      </c>
      <c r="E1433" s="7"/>
      <c r="F1433" s="7"/>
      <c r="G1433" s="2" t="str">
        <f t="array" ref="G1433">IF(ISBLANK(D1433), "", INDEX(Categories!$B:$B,MATCH(D1433,Categories!$A:$A,0)))</f>
        <v>Gift Baskets &amp; Parcels</v>
      </c>
      <c r="H1433" s="7" t="str">
        <f t="array" ref="H1433">IF(ISBLANK(E1433), "", INDEX(Categories!$B:$B,MATCH(E1433,Categories!$A:$A,0)))</f>
        <v/>
      </c>
      <c r="I1433" s="7" t="str">
        <f t="array" ref="I1433">IF(ISBLANK(F1433), "", INDEX(Categories!$B:$B,MATCH(F1433,Categories!$A:$A,0)))</f>
        <v/>
      </c>
      <c r="J1433" s="4"/>
      <c r="K1433" s="4"/>
      <c r="L1433" s="4"/>
      <c r="M1433" s="4"/>
      <c r="N1433" s="4"/>
      <c r="O1433" s="4"/>
      <c r="P1433" s="4"/>
      <c r="Q1433" s="4"/>
    </row>
    <row r="1434">
      <c r="A1434" s="5">
        <v>1433.0</v>
      </c>
      <c r="B1434" s="5" t="s">
        <v>1847</v>
      </c>
      <c r="C1434" s="5" t="s">
        <v>730</v>
      </c>
      <c r="D1434" s="6">
        <f>IFERROR(__xludf.DUMMYFUNCTION("SPLIT(MID(C1434,2,LEN(C1434)-2), "","")"),2765.0)</f>
        <v>2765</v>
      </c>
      <c r="E1434" s="7"/>
      <c r="F1434" s="7"/>
      <c r="G1434" s="2" t="str">
        <f t="array" ref="G1434">IF(ISBLANK(D1434), "", INDEX(Categories!$B:$B,MATCH(D1434,Categories!$A:$A,0)))</f>
        <v>Miscellaneous Business Services</v>
      </c>
      <c r="H1434" s="7" t="str">
        <f t="array" ref="H1434">IF(ISBLANK(E1434), "", INDEX(Categories!$B:$B,MATCH(E1434,Categories!$A:$A,0)))</f>
        <v/>
      </c>
      <c r="I1434" s="7" t="str">
        <f t="array" ref="I1434">IF(ISBLANK(F1434), "", INDEX(Categories!$B:$B,MATCH(F1434,Categories!$A:$A,0)))</f>
        <v/>
      </c>
      <c r="J1434" s="4"/>
      <c r="K1434" s="4"/>
      <c r="L1434" s="4"/>
      <c r="M1434" s="4"/>
      <c r="N1434" s="4"/>
      <c r="O1434" s="4"/>
      <c r="P1434" s="4"/>
      <c r="Q1434" s="4"/>
    </row>
    <row r="1435">
      <c r="A1435" s="5">
        <v>1434.0</v>
      </c>
      <c r="B1435" s="5" t="s">
        <v>1848</v>
      </c>
      <c r="C1435" s="5" t="s">
        <v>1364</v>
      </c>
      <c r="D1435" s="6">
        <f>IFERROR(__xludf.DUMMYFUNCTION("SPLIT(MID(C1435,2,LEN(C1435)-2), "","")"),2543.0)</f>
        <v>2543</v>
      </c>
      <c r="E1435" s="7"/>
      <c r="F1435" s="7"/>
      <c r="G1435" s="2" t="str">
        <f t="array" ref="G1435">IF(ISBLANK(D1435), "", INDEX(Categories!$B:$B,MATCH(D1435,Categories!$A:$A,0)))</f>
        <v>Cleaning House &amp; Office</v>
      </c>
      <c r="H1435" s="7" t="str">
        <f t="array" ref="H1435">IF(ISBLANK(E1435), "", INDEX(Categories!$B:$B,MATCH(E1435,Categories!$A:$A,0)))</f>
        <v/>
      </c>
      <c r="I1435" s="7" t="str">
        <f t="array" ref="I1435">IF(ISBLANK(F1435), "", INDEX(Categories!$B:$B,MATCH(F1435,Categories!$A:$A,0)))</f>
        <v/>
      </c>
      <c r="J1435" s="4"/>
      <c r="K1435" s="4"/>
      <c r="L1435" s="4"/>
      <c r="M1435" s="4"/>
      <c r="N1435" s="4"/>
      <c r="O1435" s="4"/>
      <c r="P1435" s="4"/>
      <c r="Q1435" s="4"/>
    </row>
    <row r="1436">
      <c r="A1436" s="5">
        <v>1435.0</v>
      </c>
      <c r="B1436" s="5" t="s">
        <v>1849</v>
      </c>
      <c r="C1436" s="5" t="s">
        <v>157</v>
      </c>
      <c r="D1436" s="6">
        <f>IFERROR(__xludf.DUMMYFUNCTION("SPLIT(MID(C1436,2,LEN(C1436)-2), "","")"),195.0)</f>
        <v>195</v>
      </c>
      <c r="E1436" s="7"/>
      <c r="F1436" s="7"/>
      <c r="G1436" s="2" t="str">
        <f t="array" ref="G1436">IF(ISBLANK(D1436), "", INDEX(Categories!$B:$B,MATCH(D1436,Categories!$A:$A,0)))</f>
        <v>Child Care Centers &amp; Services</v>
      </c>
      <c r="H1436" s="7" t="str">
        <f t="array" ref="H1436">IF(ISBLANK(E1436), "", INDEX(Categories!$B:$B,MATCH(E1436,Categories!$A:$A,0)))</f>
        <v/>
      </c>
      <c r="I1436" s="7" t="str">
        <f t="array" ref="I1436">IF(ISBLANK(F1436), "", INDEX(Categories!$B:$B,MATCH(F1436,Categories!$A:$A,0)))</f>
        <v/>
      </c>
      <c r="J1436" s="4"/>
      <c r="K1436" s="4"/>
      <c r="L1436" s="4"/>
      <c r="M1436" s="4"/>
      <c r="N1436" s="4"/>
      <c r="O1436" s="4"/>
      <c r="P1436" s="4"/>
      <c r="Q1436" s="4"/>
    </row>
    <row r="1437">
      <c r="A1437" s="5">
        <v>1436.0</v>
      </c>
      <c r="B1437" s="5" t="s">
        <v>1850</v>
      </c>
      <c r="C1437" s="5" t="s">
        <v>1344</v>
      </c>
      <c r="D1437" s="6">
        <f>IFERROR(__xludf.DUMMYFUNCTION("SPLIT(MID(C1437,2,LEN(C1437)-2), "","")"),2674.0)</f>
        <v>2674</v>
      </c>
      <c r="E1437" s="7"/>
      <c r="F1437" s="7"/>
      <c r="G1437" s="2" t="str">
        <f t="array" ref="G1437">IF(ISBLANK(D1437), "", INDEX(Categories!$B:$B,MATCH(D1437,Categories!$A:$A,0)))</f>
        <v>Home Improvement &amp; Remodeling Services</v>
      </c>
      <c r="H1437" s="7" t="str">
        <f t="array" ref="H1437">IF(ISBLANK(E1437), "", INDEX(Categories!$B:$B,MATCH(E1437,Categories!$A:$A,0)))</f>
        <v/>
      </c>
      <c r="I1437" s="7" t="str">
        <f t="array" ref="I1437">IF(ISBLANK(F1437), "", INDEX(Categories!$B:$B,MATCH(F1437,Categories!$A:$A,0)))</f>
        <v/>
      </c>
      <c r="J1437" s="4"/>
      <c r="K1437" s="4"/>
      <c r="L1437" s="4"/>
      <c r="M1437" s="4"/>
      <c r="N1437" s="4"/>
      <c r="O1437" s="4"/>
      <c r="P1437" s="4"/>
      <c r="Q1437" s="4"/>
    </row>
    <row r="1438">
      <c r="A1438" s="5">
        <v>1437.0</v>
      </c>
      <c r="B1438" s="5" t="s">
        <v>1851</v>
      </c>
      <c r="C1438" s="5" t="s">
        <v>246</v>
      </c>
      <c r="D1438" s="6">
        <f>IFERROR(__xludf.DUMMYFUNCTION("SPLIT(MID(C1438,2,LEN(C1438)-2), "","")"),1587.0)</f>
        <v>1587</v>
      </c>
      <c r="E1438" s="7"/>
      <c r="F1438" s="7"/>
      <c r="G1438" s="2" t="str">
        <f t="array" ref="G1438">IF(ISBLANK(D1438), "", INDEX(Categories!$B:$B,MATCH(D1438,Categories!$A:$A,0)))</f>
        <v>Educational Services</v>
      </c>
      <c r="H1438" s="7" t="str">
        <f t="array" ref="H1438">IF(ISBLANK(E1438), "", INDEX(Categories!$B:$B,MATCH(E1438,Categories!$A:$A,0)))</f>
        <v/>
      </c>
      <c r="I1438" s="7" t="str">
        <f t="array" ref="I1438">IF(ISBLANK(F1438), "", INDEX(Categories!$B:$B,MATCH(F1438,Categories!$A:$A,0)))</f>
        <v/>
      </c>
      <c r="J1438" s="4"/>
      <c r="K1438" s="4"/>
      <c r="L1438" s="4"/>
      <c r="M1438" s="4"/>
      <c r="N1438" s="4"/>
      <c r="O1438" s="4"/>
      <c r="P1438" s="4"/>
      <c r="Q1438" s="4"/>
    </row>
    <row r="1439">
      <c r="A1439" s="5">
        <v>1438.0</v>
      </c>
      <c r="B1439" s="5" t="s">
        <v>1852</v>
      </c>
      <c r="C1439" s="5" t="s">
        <v>730</v>
      </c>
      <c r="D1439" s="6">
        <f>IFERROR(__xludf.DUMMYFUNCTION("SPLIT(MID(C1439,2,LEN(C1439)-2), "","")"),2765.0)</f>
        <v>2765</v>
      </c>
      <c r="E1439" s="7"/>
      <c r="F1439" s="7"/>
      <c r="G1439" s="2" t="str">
        <f t="array" ref="G1439">IF(ISBLANK(D1439), "", INDEX(Categories!$B:$B,MATCH(D1439,Categories!$A:$A,0)))</f>
        <v>Miscellaneous Business Services</v>
      </c>
      <c r="H1439" s="7" t="str">
        <f t="array" ref="H1439">IF(ISBLANK(E1439), "", INDEX(Categories!$B:$B,MATCH(E1439,Categories!$A:$A,0)))</f>
        <v/>
      </c>
      <c r="I1439" s="7" t="str">
        <f t="array" ref="I1439">IF(ISBLANK(F1439), "", INDEX(Categories!$B:$B,MATCH(F1439,Categories!$A:$A,0)))</f>
        <v/>
      </c>
      <c r="J1439" s="4"/>
      <c r="K1439" s="4"/>
      <c r="L1439" s="4"/>
      <c r="M1439" s="4"/>
      <c r="N1439" s="4"/>
      <c r="O1439" s="4"/>
      <c r="P1439" s="4"/>
      <c r="Q1439" s="4"/>
    </row>
    <row r="1440">
      <c r="A1440" s="5">
        <v>1439.0</v>
      </c>
      <c r="B1440" s="5" t="s">
        <v>1853</v>
      </c>
      <c r="C1440" s="5" t="s">
        <v>879</v>
      </c>
      <c r="D1440" s="6">
        <f>IFERROR(__xludf.DUMMYFUNCTION("SPLIT(MID(C1440,2,LEN(C1440)-2), "","")"),1935.0)</f>
        <v>1935</v>
      </c>
      <c r="E1440" s="7"/>
      <c r="F1440" s="7"/>
      <c r="G1440" s="2" t="str">
        <f t="array" ref="G1440">IF(ISBLANK(D1440), "", INDEX(Categories!$B:$B,MATCH(D1440,Categories!$A:$A,0)))</f>
        <v>Photo Finishing</v>
      </c>
      <c r="H1440" s="7" t="str">
        <f t="array" ref="H1440">IF(ISBLANK(E1440), "", INDEX(Categories!$B:$B,MATCH(E1440,Categories!$A:$A,0)))</f>
        <v/>
      </c>
      <c r="I1440" s="7" t="str">
        <f t="array" ref="I1440">IF(ISBLANK(F1440), "", INDEX(Categories!$B:$B,MATCH(F1440,Categories!$A:$A,0)))</f>
        <v/>
      </c>
      <c r="J1440" s="4"/>
      <c r="K1440" s="4"/>
      <c r="L1440" s="4"/>
      <c r="M1440" s="4"/>
      <c r="N1440" s="4"/>
      <c r="O1440" s="4"/>
      <c r="P1440" s="4"/>
      <c r="Q1440" s="4"/>
    </row>
    <row r="1441">
      <c r="A1441" s="5">
        <v>1440.0</v>
      </c>
      <c r="B1441" s="5" t="s">
        <v>1854</v>
      </c>
      <c r="C1441" s="5" t="s">
        <v>1600</v>
      </c>
      <c r="D1441" s="6">
        <f>IFERROR(__xludf.DUMMYFUNCTION("SPLIT(MID(C1441,2,LEN(C1441)-2), "","")"),2595.0)</f>
        <v>2595</v>
      </c>
      <c r="E1441" s="7"/>
      <c r="F1441" s="7"/>
      <c r="G1441" s="2" t="str">
        <f t="array" ref="G1441">IF(ISBLANK(D1441), "", INDEX(Categories!$B:$B,MATCH(D1441,Categories!$A:$A,0)))</f>
        <v>Health &amp; Fitness Clubs</v>
      </c>
      <c r="H1441" s="7" t="str">
        <f t="array" ref="H1441">IF(ISBLANK(E1441), "", INDEX(Categories!$B:$B,MATCH(E1441,Categories!$A:$A,0)))</f>
        <v/>
      </c>
      <c r="I1441" s="7" t="str">
        <f t="array" ref="I1441">IF(ISBLANK(F1441), "", INDEX(Categories!$B:$B,MATCH(F1441,Categories!$A:$A,0)))</f>
        <v/>
      </c>
      <c r="J1441" s="4"/>
      <c r="K1441" s="4"/>
      <c r="L1441" s="4"/>
      <c r="M1441" s="4"/>
      <c r="N1441" s="4"/>
      <c r="O1441" s="4"/>
      <c r="P1441" s="4"/>
      <c r="Q1441" s="4"/>
    </row>
    <row r="1442">
      <c r="A1442" s="5">
        <v>1441.0</v>
      </c>
      <c r="B1442" s="5" t="s">
        <v>1855</v>
      </c>
      <c r="C1442" s="5" t="s">
        <v>1856</v>
      </c>
      <c r="D1442" s="6">
        <f>IFERROR(__xludf.DUMMYFUNCTION("SPLIT(MID(C1442,2,LEN(C1442)-2), "","")"),1369.0)</f>
        <v>1369</v>
      </c>
      <c r="E1442" s="7"/>
      <c r="F1442" s="7"/>
      <c r="G1442" s="2" t="str">
        <f t="array" ref="G1442">IF(ISBLANK(D1442), "", INDEX(Categories!$B:$B,MATCH(D1442,Categories!$A:$A,0)))</f>
        <v>Storage Containers, Facilities &amp; Warehouses</v>
      </c>
      <c r="H1442" s="7" t="str">
        <f t="array" ref="H1442">IF(ISBLANK(E1442), "", INDEX(Categories!$B:$B,MATCH(E1442,Categories!$A:$A,0)))</f>
        <v/>
      </c>
      <c r="I1442" s="7" t="str">
        <f t="array" ref="I1442">IF(ISBLANK(F1442), "", INDEX(Categories!$B:$B,MATCH(F1442,Categories!$A:$A,0)))</f>
        <v/>
      </c>
      <c r="J1442" s="4"/>
      <c r="K1442" s="4"/>
      <c r="L1442" s="4"/>
      <c r="M1442" s="4"/>
      <c r="N1442" s="4"/>
      <c r="O1442" s="4"/>
      <c r="P1442" s="4"/>
      <c r="Q1442" s="4"/>
    </row>
    <row r="1443">
      <c r="A1443" s="5">
        <v>1442.0</v>
      </c>
      <c r="B1443" s="5" t="s">
        <v>1857</v>
      </c>
      <c r="C1443" s="5" t="s">
        <v>34</v>
      </c>
      <c r="D1443" s="6">
        <f>IFERROR(__xludf.DUMMYFUNCTION("SPLIT(MID(C1443,2,LEN(C1443)-2), "","")"),228.0)</f>
        <v>228</v>
      </c>
      <c r="E1443" s="7"/>
      <c r="F1443" s="7"/>
      <c r="G1443" s="2" t="str">
        <f t="array" ref="G1443">IF(ISBLANK(D1443), "", INDEX(Categories!$B:$B,MATCH(D1443,Categories!$A:$A,0)))</f>
        <v>Restaurants</v>
      </c>
      <c r="H1443" s="7" t="str">
        <f t="array" ref="H1443">IF(ISBLANK(E1443), "", INDEX(Categories!$B:$B,MATCH(E1443,Categories!$A:$A,0)))</f>
        <v/>
      </c>
      <c r="I1443" s="7" t="str">
        <f t="array" ref="I1443">IF(ISBLANK(F1443), "", INDEX(Categories!$B:$B,MATCH(F1443,Categories!$A:$A,0)))</f>
        <v/>
      </c>
      <c r="J1443" s="4"/>
      <c r="K1443" s="4"/>
      <c r="L1443" s="4"/>
      <c r="M1443" s="4"/>
      <c r="N1443" s="4"/>
      <c r="O1443" s="4"/>
      <c r="P1443" s="4"/>
      <c r="Q1443" s="4"/>
    </row>
    <row r="1444">
      <c r="A1444" s="5">
        <v>1443.0</v>
      </c>
      <c r="B1444" s="5" t="s">
        <v>1858</v>
      </c>
      <c r="C1444" s="5" t="s">
        <v>18</v>
      </c>
      <c r="D1444" s="6">
        <f>IFERROR(__xludf.DUMMYFUNCTION("SPLIT(MID(C1444,2,LEN(C1444)-2), "","")"),121.0)</f>
        <v>121</v>
      </c>
      <c r="E1444" s="7"/>
      <c r="F1444" s="7"/>
      <c r="G1444" s="2" t="str">
        <f t="array" ref="G1444">IF(ISBLANK(D1444), "", INDEX(Categories!$B:$B,MATCH(D1444,Categories!$A:$A,0)))</f>
        <v>Insurance</v>
      </c>
      <c r="H1444" s="7" t="str">
        <f t="array" ref="H1444">IF(ISBLANK(E1444), "", INDEX(Categories!$B:$B,MATCH(E1444,Categories!$A:$A,0)))</f>
        <v/>
      </c>
      <c r="I1444" s="7" t="str">
        <f t="array" ref="I1444">IF(ISBLANK(F1444), "", INDEX(Categories!$B:$B,MATCH(F1444,Categories!$A:$A,0)))</f>
        <v/>
      </c>
      <c r="J1444" s="4"/>
      <c r="K1444" s="4"/>
      <c r="L1444" s="4"/>
      <c r="M1444" s="4"/>
      <c r="N1444" s="4"/>
      <c r="O1444" s="4"/>
      <c r="P1444" s="4"/>
      <c r="Q1444" s="4"/>
    </row>
    <row r="1445">
      <c r="A1445" s="5">
        <v>1444.0</v>
      </c>
      <c r="B1445" s="5" t="s">
        <v>1859</v>
      </c>
      <c r="C1445" s="5" t="s">
        <v>307</v>
      </c>
      <c r="D1445" s="6">
        <f>IFERROR(__xludf.DUMMYFUNCTION("SPLIT(MID(C1445,2,LEN(C1445)-2), "","")"),241.0)</f>
        <v>241</v>
      </c>
      <c r="E1445" s="7"/>
      <c r="F1445" s="7"/>
      <c r="G1445" s="2" t="str">
        <f t="array" ref="G1445">IF(ISBLANK(D1445), "", INDEX(Categories!$B:$B,MATCH(D1445,Categories!$A:$A,0)))</f>
        <v>Restaurants Mexican</v>
      </c>
      <c r="H1445" s="7" t="str">
        <f t="array" ref="H1445">IF(ISBLANK(E1445), "", INDEX(Categories!$B:$B,MATCH(E1445,Categories!$A:$A,0)))</f>
        <v/>
      </c>
      <c r="I1445" s="7" t="str">
        <f t="array" ref="I1445">IF(ISBLANK(F1445), "", INDEX(Categories!$B:$B,MATCH(F1445,Categories!$A:$A,0)))</f>
        <v/>
      </c>
      <c r="J1445" s="4"/>
      <c r="K1445" s="4"/>
      <c r="L1445" s="4"/>
      <c r="M1445" s="4"/>
      <c r="N1445" s="4"/>
      <c r="O1445" s="4"/>
      <c r="P1445" s="4"/>
      <c r="Q1445" s="4"/>
    </row>
    <row r="1446">
      <c r="A1446" s="5">
        <v>1445.0</v>
      </c>
      <c r="B1446" s="5" t="s">
        <v>1860</v>
      </c>
      <c r="C1446" s="5" t="s">
        <v>1861</v>
      </c>
      <c r="D1446" s="6">
        <f>IFERROR(__xludf.DUMMYFUNCTION("SPLIT(MID(C1446,2,LEN(C1446)-2), "","")"),1608.0)</f>
        <v>1608</v>
      </c>
      <c r="E1446" s="7"/>
      <c r="F1446" s="7"/>
      <c r="G1446" s="2" t="str">
        <f t="array" ref="G1446">IF(ISBLANK(D1446), "", INDEX(Categories!$B:$B,MATCH(D1446,Categories!$A:$A,0)))</f>
        <v>Appliance Repair &amp; Supplies</v>
      </c>
      <c r="H1446" s="7" t="str">
        <f t="array" ref="H1446">IF(ISBLANK(E1446), "", INDEX(Categories!$B:$B,MATCH(E1446,Categories!$A:$A,0)))</f>
        <v/>
      </c>
      <c r="I1446" s="7" t="str">
        <f t="array" ref="I1446">IF(ISBLANK(F1446), "", INDEX(Categories!$B:$B,MATCH(F1446,Categories!$A:$A,0)))</f>
        <v/>
      </c>
      <c r="J1446" s="4"/>
      <c r="K1446" s="4"/>
      <c r="L1446" s="4"/>
      <c r="M1446" s="4"/>
      <c r="N1446" s="4"/>
      <c r="O1446" s="4"/>
      <c r="P1446" s="4"/>
      <c r="Q1446" s="4"/>
    </row>
    <row r="1447">
      <c r="A1447" s="5">
        <v>1446.0</v>
      </c>
      <c r="B1447" s="5" t="s">
        <v>1862</v>
      </c>
      <c r="C1447" s="5" t="s">
        <v>69</v>
      </c>
      <c r="D1447" s="6">
        <f>IFERROR(__xludf.DUMMYFUNCTION("SPLIT(MID(C1447,2,LEN(C1447)-2), "","")"),293.0)</f>
        <v>293</v>
      </c>
      <c r="E1447" s="7"/>
      <c r="F1447" s="7"/>
      <c r="G1447" s="2" t="str">
        <f t="array" ref="G1447">IF(ISBLANK(D1447), "", INDEX(Categories!$B:$B,MATCH(D1447,Categories!$A:$A,0)))</f>
        <v>Banks Commercial</v>
      </c>
      <c r="H1447" s="7" t="str">
        <f t="array" ref="H1447">IF(ISBLANK(E1447), "", INDEX(Categories!$B:$B,MATCH(E1447,Categories!$A:$A,0)))</f>
        <v/>
      </c>
      <c r="I1447" s="7" t="str">
        <f t="array" ref="I1447">IF(ISBLANK(F1447), "", INDEX(Categories!$B:$B,MATCH(F1447,Categories!$A:$A,0)))</f>
        <v/>
      </c>
      <c r="J1447" s="4"/>
      <c r="K1447" s="4"/>
      <c r="L1447" s="4"/>
      <c r="M1447" s="4"/>
      <c r="N1447" s="4"/>
      <c r="O1447" s="4"/>
      <c r="P1447" s="4"/>
      <c r="Q1447" s="4"/>
    </row>
    <row r="1448">
      <c r="A1448" s="5">
        <v>1447.0</v>
      </c>
      <c r="B1448" s="5" t="s">
        <v>1863</v>
      </c>
      <c r="C1448" s="5" t="s">
        <v>246</v>
      </c>
      <c r="D1448" s="6">
        <f>IFERROR(__xludf.DUMMYFUNCTION("SPLIT(MID(C1448,2,LEN(C1448)-2), "","")"),1587.0)</f>
        <v>1587</v>
      </c>
      <c r="E1448" s="7"/>
      <c r="F1448" s="7"/>
      <c r="G1448" s="2" t="str">
        <f t="array" ref="G1448">IF(ISBLANK(D1448), "", INDEX(Categories!$B:$B,MATCH(D1448,Categories!$A:$A,0)))</f>
        <v>Educational Services</v>
      </c>
      <c r="H1448" s="7" t="str">
        <f t="array" ref="H1448">IF(ISBLANK(E1448), "", INDEX(Categories!$B:$B,MATCH(E1448,Categories!$A:$A,0)))</f>
        <v/>
      </c>
      <c r="I1448" s="7" t="str">
        <f t="array" ref="I1448">IF(ISBLANK(F1448), "", INDEX(Categories!$B:$B,MATCH(F1448,Categories!$A:$A,0)))</f>
        <v/>
      </c>
      <c r="J1448" s="4"/>
      <c r="K1448" s="4"/>
      <c r="L1448" s="4"/>
      <c r="M1448" s="4"/>
      <c r="N1448" s="4"/>
      <c r="O1448" s="4"/>
      <c r="P1448" s="4"/>
      <c r="Q1448" s="4"/>
    </row>
    <row r="1449">
      <c r="A1449" s="5">
        <v>1448.0</v>
      </c>
      <c r="B1449" s="5" t="s">
        <v>1864</v>
      </c>
      <c r="C1449" s="5" t="s">
        <v>62</v>
      </c>
      <c r="D1449" s="6">
        <f>IFERROR(__xludf.DUMMYFUNCTION("SPLIT(MID(C1449,2,LEN(C1449)-2), "","")"),242.0)</f>
        <v>242</v>
      </c>
      <c r="E1449" s="7"/>
      <c r="F1449" s="7"/>
      <c r="G1449" s="2" t="str">
        <f t="array" ref="G1449">IF(ISBLANK(D1449), "", INDEX(Categories!$B:$B,MATCH(D1449,Categories!$A:$A,0)))</f>
        <v>Restaurants Pizza</v>
      </c>
      <c r="H1449" s="7" t="str">
        <f t="array" ref="H1449">IF(ISBLANK(E1449), "", INDEX(Categories!$B:$B,MATCH(E1449,Categories!$A:$A,0)))</f>
        <v/>
      </c>
      <c r="I1449" s="7" t="str">
        <f t="array" ref="I1449">IF(ISBLANK(F1449), "", INDEX(Categories!$B:$B,MATCH(F1449,Categories!$A:$A,0)))</f>
        <v/>
      </c>
      <c r="J1449" s="4"/>
      <c r="K1449" s="4"/>
      <c r="L1449" s="4"/>
      <c r="M1449" s="4"/>
      <c r="N1449" s="4"/>
      <c r="O1449" s="4"/>
      <c r="P1449" s="4"/>
      <c r="Q1449" s="4"/>
    </row>
    <row r="1450">
      <c r="A1450" s="5">
        <v>1449.0</v>
      </c>
      <c r="B1450" s="5" t="s">
        <v>1865</v>
      </c>
      <c r="C1450" s="5" t="s">
        <v>18</v>
      </c>
      <c r="D1450" s="6">
        <f>IFERROR(__xludf.DUMMYFUNCTION("SPLIT(MID(C1450,2,LEN(C1450)-2), "","")"),121.0)</f>
        <v>121</v>
      </c>
      <c r="E1450" s="7"/>
      <c r="F1450" s="7"/>
      <c r="G1450" s="2" t="str">
        <f t="array" ref="G1450">IF(ISBLANK(D1450), "", INDEX(Categories!$B:$B,MATCH(D1450,Categories!$A:$A,0)))</f>
        <v>Insurance</v>
      </c>
      <c r="H1450" s="7" t="str">
        <f t="array" ref="H1450">IF(ISBLANK(E1450), "", INDEX(Categories!$B:$B,MATCH(E1450,Categories!$A:$A,0)))</f>
        <v/>
      </c>
      <c r="I1450" s="7" t="str">
        <f t="array" ref="I1450">IF(ISBLANK(F1450), "", INDEX(Categories!$B:$B,MATCH(F1450,Categories!$A:$A,0)))</f>
        <v/>
      </c>
      <c r="J1450" s="4"/>
      <c r="K1450" s="4"/>
      <c r="L1450" s="4"/>
      <c r="M1450" s="4"/>
      <c r="N1450" s="4"/>
      <c r="O1450" s="4"/>
      <c r="P1450" s="4"/>
      <c r="Q1450" s="4"/>
    </row>
    <row r="1451">
      <c r="A1451" s="5">
        <v>1450.0</v>
      </c>
      <c r="B1451" s="5" t="s">
        <v>1866</v>
      </c>
      <c r="C1451" s="5" t="s">
        <v>1674</v>
      </c>
      <c r="D1451" s="6">
        <f>IFERROR(__xludf.DUMMYFUNCTION("SPLIT(MID(C1451,2,LEN(C1451)-2), "","")"),2597.0)</f>
        <v>2597</v>
      </c>
      <c r="E1451" s="7"/>
      <c r="F1451" s="7"/>
      <c r="G1451" s="2" t="str">
        <f t="array" ref="G1451">IF(ISBLANK(D1451), "", INDEX(Categories!$B:$B,MATCH(D1451,Categories!$A:$A,0)))</f>
        <v>Exercise &amp; Physical Fitness Programs</v>
      </c>
      <c r="H1451" s="7" t="str">
        <f t="array" ref="H1451">IF(ISBLANK(E1451), "", INDEX(Categories!$B:$B,MATCH(E1451,Categories!$A:$A,0)))</f>
        <v/>
      </c>
      <c r="I1451" s="7" t="str">
        <f t="array" ref="I1451">IF(ISBLANK(F1451), "", INDEX(Categories!$B:$B,MATCH(F1451,Categories!$A:$A,0)))</f>
        <v/>
      </c>
      <c r="J1451" s="4"/>
      <c r="K1451" s="4"/>
      <c r="L1451" s="4"/>
      <c r="M1451" s="4"/>
      <c r="N1451" s="4"/>
      <c r="O1451" s="4"/>
      <c r="P1451" s="4"/>
      <c r="Q1451" s="4"/>
    </row>
    <row r="1452">
      <c r="A1452" s="5">
        <v>1451.0</v>
      </c>
      <c r="B1452" s="5" t="s">
        <v>1867</v>
      </c>
      <c r="C1452" s="5" t="s">
        <v>152</v>
      </c>
      <c r="D1452" s="6">
        <f>IFERROR(__xludf.DUMMYFUNCTION("SPLIT(MID(C1452,2,LEN(C1452)-2), "","")"),1183.0)</f>
        <v>1183</v>
      </c>
      <c r="E1452" s="7"/>
      <c r="F1452" s="7"/>
      <c r="G1452" s="2" t="str">
        <f t="array" ref="G1452">IF(ISBLANK(D1452), "", INDEX(Categories!$B:$B,MATCH(D1452,Categories!$A:$A,0)))</f>
        <v>Shipping Services</v>
      </c>
      <c r="H1452" s="7" t="str">
        <f t="array" ref="H1452">IF(ISBLANK(E1452), "", INDEX(Categories!$B:$B,MATCH(E1452,Categories!$A:$A,0)))</f>
        <v/>
      </c>
      <c r="I1452" s="7" t="str">
        <f t="array" ref="I1452">IF(ISBLANK(F1452), "", INDEX(Categories!$B:$B,MATCH(F1452,Categories!$A:$A,0)))</f>
        <v/>
      </c>
      <c r="J1452" s="4"/>
      <c r="K1452" s="4"/>
      <c r="L1452" s="4"/>
      <c r="M1452" s="4"/>
      <c r="N1452" s="4"/>
      <c r="O1452" s="4"/>
      <c r="P1452" s="4"/>
      <c r="Q1452" s="4"/>
    </row>
    <row r="1453">
      <c r="A1453" s="5">
        <v>1452.0</v>
      </c>
      <c r="B1453" s="5" t="s">
        <v>1868</v>
      </c>
      <c r="C1453" s="5" t="s">
        <v>1869</v>
      </c>
      <c r="D1453" s="6">
        <f>IFERROR(__xludf.DUMMYFUNCTION("SPLIT(MID(C1453,2,LEN(C1453)-2), "","")"),957.0)</f>
        <v>957</v>
      </c>
      <c r="E1453" s="7"/>
      <c r="F1453" s="7"/>
      <c r="G1453" s="2" t="str">
        <f t="array" ref="G1453">IF(ISBLANK(D1453), "", INDEX(Categories!$B:$B,MATCH(D1453,Categories!$A:$A,0)))</f>
        <v>Paint Manufacturers</v>
      </c>
      <c r="H1453" s="7" t="str">
        <f t="array" ref="H1453">IF(ISBLANK(E1453), "", INDEX(Categories!$B:$B,MATCH(E1453,Categories!$A:$A,0)))</f>
        <v/>
      </c>
      <c r="I1453" s="7" t="str">
        <f t="array" ref="I1453">IF(ISBLANK(F1453), "", INDEX(Categories!$B:$B,MATCH(F1453,Categories!$A:$A,0)))</f>
        <v/>
      </c>
      <c r="J1453" s="4"/>
      <c r="K1453" s="4"/>
      <c r="L1453" s="4"/>
      <c r="M1453" s="4"/>
      <c r="N1453" s="4"/>
      <c r="O1453" s="4"/>
      <c r="P1453" s="4"/>
      <c r="Q1453" s="4"/>
    </row>
    <row r="1454">
      <c r="A1454" s="5">
        <v>1453.0</v>
      </c>
      <c r="B1454" s="5" t="s">
        <v>1870</v>
      </c>
      <c r="C1454" s="5" t="s">
        <v>309</v>
      </c>
      <c r="D1454" s="6">
        <f>IFERROR(__xludf.DUMMYFUNCTION("SPLIT(MID(C1454,2,LEN(C1454)-2), "","")"),458.0)</f>
        <v>458</v>
      </c>
      <c r="E1454" s="7"/>
      <c r="F1454" s="7"/>
      <c r="G1454" s="2" t="str">
        <f t="array" ref="G1454">IF(ISBLANK(D1454), "", INDEX(Categories!$B:$B,MATCH(D1454,Categories!$A:$A,0)))</f>
        <v>Real Estate - Brokers &amp; Agents</v>
      </c>
      <c r="H1454" s="7" t="str">
        <f t="array" ref="H1454">IF(ISBLANK(E1454), "", INDEX(Categories!$B:$B,MATCH(E1454,Categories!$A:$A,0)))</f>
        <v/>
      </c>
      <c r="I1454" s="7" t="str">
        <f t="array" ref="I1454">IF(ISBLANK(F1454), "", INDEX(Categories!$B:$B,MATCH(F1454,Categories!$A:$A,0)))</f>
        <v/>
      </c>
      <c r="J1454" s="4"/>
      <c r="K1454" s="4"/>
      <c r="L1454" s="4"/>
      <c r="M1454" s="4"/>
      <c r="N1454" s="4"/>
      <c r="O1454" s="4"/>
      <c r="P1454" s="4"/>
      <c r="Q1454" s="4"/>
    </row>
    <row r="1455">
      <c r="A1455" s="5">
        <v>1454.0</v>
      </c>
      <c r="B1455" s="5" t="s">
        <v>1871</v>
      </c>
      <c r="C1455" s="5" t="s">
        <v>87</v>
      </c>
      <c r="D1455" s="6">
        <f>IFERROR(__xludf.DUMMYFUNCTION("SPLIT(MID(C1455,2,LEN(C1455)-2), "","")"),168.0)</f>
        <v>168</v>
      </c>
      <c r="E1455" s="7"/>
      <c r="F1455" s="7"/>
      <c r="G1455" s="2" t="str">
        <f t="array" ref="G1455">IF(ISBLANK(D1455), "", INDEX(Categories!$B:$B,MATCH(D1455,Categories!$A:$A,0)))</f>
        <v>Hotels &amp; Motels</v>
      </c>
      <c r="H1455" s="7" t="str">
        <f t="array" ref="H1455">IF(ISBLANK(E1455), "", INDEX(Categories!$B:$B,MATCH(E1455,Categories!$A:$A,0)))</f>
        <v/>
      </c>
      <c r="I1455" s="7" t="str">
        <f t="array" ref="I1455">IF(ISBLANK(F1455), "", INDEX(Categories!$B:$B,MATCH(F1455,Categories!$A:$A,0)))</f>
        <v/>
      </c>
      <c r="J1455" s="4"/>
      <c r="K1455" s="4"/>
      <c r="L1455" s="4"/>
      <c r="M1455" s="4"/>
      <c r="N1455" s="4"/>
      <c r="O1455" s="4"/>
      <c r="P1455" s="4"/>
      <c r="Q1455" s="4"/>
    </row>
    <row r="1456">
      <c r="A1456" s="5">
        <v>1455.0</v>
      </c>
      <c r="B1456" s="5" t="s">
        <v>1872</v>
      </c>
      <c r="C1456" s="5" t="s">
        <v>950</v>
      </c>
      <c r="D1456" s="6">
        <f>IFERROR(__xludf.DUMMYFUNCTION("SPLIT(MID(C1456,2,LEN(C1456)-2), "","")"),2093.0)</f>
        <v>2093</v>
      </c>
      <c r="E1456" s="7"/>
      <c r="F1456" s="7"/>
      <c r="G1456" s="2" t="str">
        <f t="array" ref="G1456">IF(ISBLANK(D1456), "", INDEX(Categories!$B:$B,MATCH(D1456,Categories!$A:$A,0)))</f>
        <v>Mattresses &amp; Bedding Retail</v>
      </c>
      <c r="H1456" s="7" t="str">
        <f t="array" ref="H1456">IF(ISBLANK(E1456), "", INDEX(Categories!$B:$B,MATCH(E1456,Categories!$A:$A,0)))</f>
        <v/>
      </c>
      <c r="I1456" s="7" t="str">
        <f t="array" ref="I1456">IF(ISBLANK(F1456), "", INDEX(Categories!$B:$B,MATCH(F1456,Categories!$A:$A,0)))</f>
        <v/>
      </c>
      <c r="J1456" s="4"/>
      <c r="K1456" s="4"/>
      <c r="L1456" s="4"/>
      <c r="M1456" s="4"/>
      <c r="N1456" s="4"/>
      <c r="O1456" s="4"/>
      <c r="P1456" s="4"/>
      <c r="Q1456" s="4"/>
    </row>
    <row r="1457">
      <c r="A1457" s="5">
        <v>1456.0</v>
      </c>
      <c r="B1457" s="5" t="s">
        <v>1873</v>
      </c>
      <c r="C1457" s="5" t="s">
        <v>1874</v>
      </c>
      <c r="D1457" s="6">
        <f>IFERROR(__xludf.DUMMYFUNCTION("SPLIT(MID(C1457,2,LEN(C1457)-2), "","")"),1602.0)</f>
        <v>1602</v>
      </c>
      <c r="E1457" s="7"/>
      <c r="F1457" s="7"/>
      <c r="G1457" s="2" t="str">
        <f t="array" ref="G1457">IF(ISBLANK(D1457), "", INDEX(Categories!$B:$B,MATCH(D1457,Categories!$A:$A,0)))</f>
        <v>Homes Residential Care</v>
      </c>
      <c r="H1457" s="7" t="str">
        <f t="array" ref="H1457">IF(ISBLANK(E1457), "", INDEX(Categories!$B:$B,MATCH(E1457,Categories!$A:$A,0)))</f>
        <v/>
      </c>
      <c r="I1457" s="7" t="str">
        <f t="array" ref="I1457">IF(ISBLANK(F1457), "", INDEX(Categories!$B:$B,MATCH(F1457,Categories!$A:$A,0)))</f>
        <v/>
      </c>
      <c r="J1457" s="4"/>
      <c r="K1457" s="4"/>
      <c r="L1457" s="4"/>
      <c r="M1457" s="4"/>
      <c r="N1457" s="4"/>
      <c r="O1457" s="4"/>
      <c r="P1457" s="4"/>
      <c r="Q1457" s="4"/>
    </row>
    <row r="1458">
      <c r="A1458" s="5">
        <v>1457.0</v>
      </c>
      <c r="B1458" s="5" t="s">
        <v>1875</v>
      </c>
      <c r="C1458" s="5" t="s">
        <v>1876</v>
      </c>
      <c r="D1458" s="6">
        <f>IFERROR(__xludf.DUMMYFUNCTION("SPLIT(MID(C1458,2,LEN(C1458)-2), "","")"),2389.0)</f>
        <v>2389</v>
      </c>
      <c r="E1458" s="7"/>
      <c r="F1458" s="7"/>
      <c r="G1458" s="2" t="str">
        <f t="array" ref="G1458">IF(ISBLANK(D1458), "", INDEX(Categories!$B:$B,MATCH(D1458,Categories!$A:$A,0)))</f>
        <v>Dating Services</v>
      </c>
      <c r="H1458" s="7" t="str">
        <f t="array" ref="H1458">IF(ISBLANK(E1458), "", INDEX(Categories!$B:$B,MATCH(E1458,Categories!$A:$A,0)))</f>
        <v/>
      </c>
      <c r="I1458" s="7" t="str">
        <f t="array" ref="I1458">IF(ISBLANK(F1458), "", INDEX(Categories!$B:$B,MATCH(F1458,Categories!$A:$A,0)))</f>
        <v/>
      </c>
      <c r="J1458" s="4"/>
      <c r="K1458" s="4"/>
      <c r="L1458" s="4"/>
      <c r="M1458" s="4"/>
      <c r="N1458" s="4"/>
      <c r="O1458" s="4"/>
      <c r="P1458" s="4"/>
      <c r="Q1458" s="4"/>
    </row>
    <row r="1459">
      <c r="A1459" s="5">
        <v>1458.0</v>
      </c>
      <c r="B1459" s="5" t="s">
        <v>1877</v>
      </c>
      <c r="C1459" s="5" t="s">
        <v>34</v>
      </c>
      <c r="D1459" s="6">
        <f>IFERROR(__xludf.DUMMYFUNCTION("SPLIT(MID(C1459,2,LEN(C1459)-2), "","")"),228.0)</f>
        <v>228</v>
      </c>
      <c r="E1459" s="7"/>
      <c r="F1459" s="7"/>
      <c r="G1459" s="2" t="str">
        <f t="array" ref="G1459">IF(ISBLANK(D1459), "", INDEX(Categories!$B:$B,MATCH(D1459,Categories!$A:$A,0)))</f>
        <v>Restaurants</v>
      </c>
      <c r="H1459" s="7" t="str">
        <f t="array" ref="H1459">IF(ISBLANK(E1459), "", INDEX(Categories!$B:$B,MATCH(E1459,Categories!$A:$A,0)))</f>
        <v/>
      </c>
      <c r="I1459" s="7" t="str">
        <f t="array" ref="I1459">IF(ISBLANK(F1459), "", INDEX(Categories!$B:$B,MATCH(F1459,Categories!$A:$A,0)))</f>
        <v/>
      </c>
      <c r="J1459" s="4"/>
      <c r="K1459" s="4"/>
      <c r="L1459" s="4"/>
      <c r="M1459" s="4"/>
      <c r="N1459" s="4"/>
      <c r="O1459" s="4"/>
      <c r="P1459" s="4"/>
      <c r="Q1459" s="4"/>
    </row>
    <row r="1460">
      <c r="A1460" s="5">
        <v>1459.0</v>
      </c>
      <c r="B1460" s="5" t="s">
        <v>1878</v>
      </c>
      <c r="C1460" s="5" t="s">
        <v>69</v>
      </c>
      <c r="D1460" s="6">
        <f>IFERROR(__xludf.DUMMYFUNCTION("SPLIT(MID(C1460,2,LEN(C1460)-2), "","")"),293.0)</f>
        <v>293</v>
      </c>
      <c r="E1460" s="7"/>
      <c r="F1460" s="7"/>
      <c r="G1460" s="2" t="str">
        <f t="array" ref="G1460">IF(ISBLANK(D1460), "", INDEX(Categories!$B:$B,MATCH(D1460,Categories!$A:$A,0)))</f>
        <v>Banks Commercial</v>
      </c>
      <c r="H1460" s="7" t="str">
        <f t="array" ref="H1460">IF(ISBLANK(E1460), "", INDEX(Categories!$B:$B,MATCH(E1460,Categories!$A:$A,0)))</f>
        <v/>
      </c>
      <c r="I1460" s="7" t="str">
        <f t="array" ref="I1460">IF(ISBLANK(F1460), "", INDEX(Categories!$B:$B,MATCH(F1460,Categories!$A:$A,0)))</f>
        <v/>
      </c>
      <c r="J1460" s="4"/>
      <c r="K1460" s="4"/>
      <c r="L1460" s="4"/>
      <c r="M1460" s="4"/>
      <c r="N1460" s="4"/>
      <c r="O1460" s="4"/>
      <c r="P1460" s="4"/>
      <c r="Q1460" s="4"/>
    </row>
    <row r="1461">
      <c r="A1461" s="5">
        <v>1460.0</v>
      </c>
      <c r="B1461" s="5" t="s">
        <v>1879</v>
      </c>
      <c r="C1461" s="5" t="s">
        <v>96</v>
      </c>
      <c r="D1461" s="6">
        <f>IFERROR(__xludf.DUMMYFUNCTION("SPLIT(MID(C1461,2,LEN(C1461)-2), "","")"),572.0)</f>
        <v>572</v>
      </c>
      <c r="E1461" s="7"/>
      <c r="F1461" s="7"/>
      <c r="G1461" s="2" t="str">
        <f t="array" ref="G1461">IF(ISBLANK(D1461), "", INDEX(Categories!$B:$B,MATCH(D1461,Categories!$A:$A,0)))</f>
        <v>Groceries</v>
      </c>
      <c r="H1461" s="7" t="str">
        <f t="array" ref="H1461">IF(ISBLANK(E1461), "", INDEX(Categories!$B:$B,MATCH(E1461,Categories!$A:$A,0)))</f>
        <v/>
      </c>
      <c r="I1461" s="7" t="str">
        <f t="array" ref="I1461">IF(ISBLANK(F1461), "", INDEX(Categories!$B:$B,MATCH(F1461,Categories!$A:$A,0)))</f>
        <v/>
      </c>
      <c r="J1461" s="4"/>
      <c r="K1461" s="4"/>
      <c r="L1461" s="4"/>
      <c r="M1461" s="4"/>
      <c r="N1461" s="4"/>
      <c r="O1461" s="4"/>
      <c r="P1461" s="4"/>
      <c r="Q1461" s="4"/>
    </row>
    <row r="1462">
      <c r="A1462" s="5">
        <v>1461.0</v>
      </c>
      <c r="B1462" s="5" t="s">
        <v>1880</v>
      </c>
      <c r="C1462" s="5" t="s">
        <v>826</v>
      </c>
      <c r="D1462" s="6">
        <f>IFERROR(__xludf.DUMMYFUNCTION("SPLIT(MID(C1462,2,LEN(C1462)-2), "","")"),2316.0)</f>
        <v>2316</v>
      </c>
      <c r="E1462" s="7"/>
      <c r="F1462" s="7"/>
      <c r="G1462" s="2" t="str">
        <f t="array" ref="G1462">IF(ISBLANK(D1462), "", INDEX(Categories!$B:$B,MATCH(D1462,Categories!$A:$A,0)))</f>
        <v>Lawn &amp; Grounds Maintenance</v>
      </c>
      <c r="H1462" s="7" t="str">
        <f t="array" ref="H1462">IF(ISBLANK(E1462), "", INDEX(Categories!$B:$B,MATCH(E1462,Categories!$A:$A,0)))</f>
        <v/>
      </c>
      <c r="I1462" s="7" t="str">
        <f t="array" ref="I1462">IF(ISBLANK(F1462), "", INDEX(Categories!$B:$B,MATCH(F1462,Categories!$A:$A,0)))</f>
        <v/>
      </c>
      <c r="J1462" s="4"/>
      <c r="K1462" s="4"/>
      <c r="L1462" s="4"/>
      <c r="M1462" s="4"/>
      <c r="N1462" s="4"/>
      <c r="O1462" s="4"/>
      <c r="P1462" s="4"/>
      <c r="Q1462" s="4"/>
    </row>
    <row r="1463">
      <c r="A1463" s="5">
        <v>1462.0</v>
      </c>
      <c r="B1463" s="5" t="s">
        <v>1881</v>
      </c>
      <c r="C1463" s="5" t="s">
        <v>1882</v>
      </c>
      <c r="D1463" s="6">
        <f>IFERROR(__xludf.DUMMYFUNCTION("SPLIT(MID(C1463,2,LEN(C1463)-2), "","")"),2369.0)</f>
        <v>2369</v>
      </c>
      <c r="E1463" s="7"/>
      <c r="F1463" s="7"/>
      <c r="G1463" s="2" t="str">
        <f t="array" ref="G1463">IF(ISBLANK(D1463), "", INDEX(Categories!$B:$B,MATCH(D1463,Categories!$A:$A,0)))</f>
        <v>Business Brokers &amp; Franchising</v>
      </c>
      <c r="H1463" s="7" t="str">
        <f t="array" ref="H1463">IF(ISBLANK(E1463), "", INDEX(Categories!$B:$B,MATCH(E1463,Categories!$A:$A,0)))</f>
        <v/>
      </c>
      <c r="I1463" s="7" t="str">
        <f t="array" ref="I1463">IF(ISBLANK(F1463), "", INDEX(Categories!$B:$B,MATCH(F1463,Categories!$A:$A,0)))</f>
        <v/>
      </c>
      <c r="J1463" s="4"/>
      <c r="K1463" s="4"/>
      <c r="L1463" s="4"/>
      <c r="M1463" s="4"/>
      <c r="N1463" s="4"/>
      <c r="O1463" s="4"/>
      <c r="P1463" s="4"/>
      <c r="Q1463" s="4"/>
    </row>
    <row r="1464">
      <c r="A1464" s="5">
        <v>1463.0</v>
      </c>
      <c r="B1464" s="5" t="s">
        <v>1883</v>
      </c>
      <c r="C1464" s="5" t="s">
        <v>12</v>
      </c>
      <c r="D1464" s="6">
        <f>IFERROR(__xludf.DUMMYFUNCTION("SPLIT(MID(C1464,2,LEN(C1464)-2), "","")"),469.0)</f>
        <v>469</v>
      </c>
      <c r="E1464" s="7"/>
      <c r="F1464" s="7"/>
      <c r="G1464" s="2" t="str">
        <f t="array" ref="G1464">IF(ISBLANK(D1464), "", INDEX(Categories!$B:$B,MATCH(D1464,Categories!$A:$A,0)))</f>
        <v>Automobile - Repairs &amp; Services</v>
      </c>
      <c r="H1464" s="7" t="str">
        <f t="array" ref="H1464">IF(ISBLANK(E1464), "", INDEX(Categories!$B:$B,MATCH(E1464,Categories!$A:$A,0)))</f>
        <v/>
      </c>
      <c r="I1464" s="7" t="str">
        <f t="array" ref="I1464">IF(ISBLANK(F1464), "", INDEX(Categories!$B:$B,MATCH(F1464,Categories!$A:$A,0)))</f>
        <v/>
      </c>
      <c r="J1464" s="4"/>
      <c r="K1464" s="4"/>
      <c r="L1464" s="4"/>
      <c r="M1464" s="4"/>
      <c r="N1464" s="4"/>
      <c r="O1464" s="4"/>
      <c r="P1464" s="4"/>
      <c r="Q1464" s="4"/>
    </row>
    <row r="1465">
      <c r="A1465" s="5">
        <v>1464.0</v>
      </c>
      <c r="B1465" s="5" t="s">
        <v>1884</v>
      </c>
      <c r="C1465" s="5" t="s">
        <v>246</v>
      </c>
      <c r="D1465" s="6">
        <f>IFERROR(__xludf.DUMMYFUNCTION("SPLIT(MID(C1465,2,LEN(C1465)-2), "","")"),1587.0)</f>
        <v>1587</v>
      </c>
      <c r="E1465" s="7"/>
      <c r="F1465" s="7"/>
      <c r="G1465" s="2" t="str">
        <f t="array" ref="G1465">IF(ISBLANK(D1465), "", INDEX(Categories!$B:$B,MATCH(D1465,Categories!$A:$A,0)))</f>
        <v>Educational Services</v>
      </c>
      <c r="H1465" s="7" t="str">
        <f t="array" ref="H1465">IF(ISBLANK(E1465), "", INDEX(Categories!$B:$B,MATCH(E1465,Categories!$A:$A,0)))</f>
        <v/>
      </c>
      <c r="I1465" s="7" t="str">
        <f t="array" ref="I1465">IF(ISBLANK(F1465), "", INDEX(Categories!$B:$B,MATCH(F1465,Categories!$A:$A,0)))</f>
        <v/>
      </c>
      <c r="J1465" s="4"/>
      <c r="K1465" s="4"/>
      <c r="L1465" s="4"/>
      <c r="M1465" s="4"/>
      <c r="N1465" s="4"/>
      <c r="O1465" s="4"/>
      <c r="P1465" s="4"/>
      <c r="Q1465" s="4"/>
    </row>
    <row r="1466">
      <c r="A1466" s="5">
        <v>1465.0</v>
      </c>
      <c r="B1466" s="5" t="s">
        <v>1885</v>
      </c>
      <c r="C1466" s="5" t="s">
        <v>460</v>
      </c>
      <c r="D1466" s="6">
        <f>IFERROR(__xludf.DUMMYFUNCTION("SPLIT(MID(C1466,2,LEN(C1466)-2), "","")"),605.0)</f>
        <v>605</v>
      </c>
      <c r="E1466" s="7"/>
      <c r="F1466" s="7"/>
      <c r="G1466" s="2" t="str">
        <f t="array" ref="G1466">IF(ISBLANK(D1466), "", INDEX(Categories!$B:$B,MATCH(D1466,Categories!$A:$A,0)))</f>
        <v>Pretzels Retail</v>
      </c>
      <c r="H1466" s="7" t="str">
        <f t="array" ref="H1466">IF(ISBLANK(E1466), "", INDEX(Categories!$B:$B,MATCH(E1466,Categories!$A:$A,0)))</f>
        <v/>
      </c>
      <c r="I1466" s="7" t="str">
        <f t="array" ref="I1466">IF(ISBLANK(F1466), "", INDEX(Categories!$B:$B,MATCH(F1466,Categories!$A:$A,0)))</f>
        <v/>
      </c>
      <c r="J1466" s="4"/>
      <c r="K1466" s="4"/>
      <c r="L1466" s="4"/>
      <c r="M1466" s="4"/>
      <c r="N1466" s="4"/>
      <c r="O1466" s="4"/>
      <c r="P1466" s="4"/>
      <c r="Q1466" s="4"/>
    </row>
    <row r="1467">
      <c r="A1467" s="5">
        <v>1466.0</v>
      </c>
      <c r="B1467" s="5" t="s">
        <v>1886</v>
      </c>
      <c r="C1467" s="5" t="s">
        <v>34</v>
      </c>
      <c r="D1467" s="6">
        <f>IFERROR(__xludf.DUMMYFUNCTION("SPLIT(MID(C1467,2,LEN(C1467)-2), "","")"),228.0)</f>
        <v>228</v>
      </c>
      <c r="E1467" s="7"/>
      <c r="F1467" s="7"/>
      <c r="G1467" s="2" t="str">
        <f t="array" ref="G1467">IF(ISBLANK(D1467), "", INDEX(Categories!$B:$B,MATCH(D1467,Categories!$A:$A,0)))</f>
        <v>Restaurants</v>
      </c>
      <c r="H1467" s="7" t="str">
        <f t="array" ref="H1467">IF(ISBLANK(E1467), "", INDEX(Categories!$B:$B,MATCH(E1467,Categories!$A:$A,0)))</f>
        <v/>
      </c>
      <c r="I1467" s="7" t="str">
        <f t="array" ref="I1467">IF(ISBLANK(F1467), "", INDEX(Categories!$B:$B,MATCH(F1467,Categories!$A:$A,0)))</f>
        <v/>
      </c>
      <c r="J1467" s="4"/>
      <c r="K1467" s="4"/>
      <c r="L1467" s="4"/>
      <c r="M1467" s="4"/>
      <c r="N1467" s="4"/>
      <c r="O1467" s="4"/>
      <c r="P1467" s="4"/>
      <c r="Q1467" s="4"/>
    </row>
    <row r="1468">
      <c r="A1468" s="5">
        <v>1467.0</v>
      </c>
      <c r="B1468" s="5" t="s">
        <v>1887</v>
      </c>
      <c r="C1468" s="5" t="s">
        <v>85</v>
      </c>
      <c r="D1468" s="6">
        <f>IFERROR(__xludf.DUMMYFUNCTION("SPLIT(MID(C1468,2,LEN(C1468)-2), "","")"),1243.0)</f>
        <v>1243</v>
      </c>
      <c r="E1468" s="7"/>
      <c r="F1468" s="7"/>
      <c r="G1468" s="2" t="str">
        <f t="array" ref="G1468">IF(ISBLANK(D1468), "", INDEX(Categories!$B:$B,MATCH(D1468,Categories!$A:$A,0)))</f>
        <v>Boutique Items</v>
      </c>
      <c r="H1468" s="7" t="str">
        <f t="array" ref="H1468">IF(ISBLANK(E1468), "", INDEX(Categories!$B:$B,MATCH(E1468,Categories!$A:$A,0)))</f>
        <v/>
      </c>
      <c r="I1468" s="7" t="str">
        <f t="array" ref="I1468">IF(ISBLANK(F1468), "", INDEX(Categories!$B:$B,MATCH(F1468,Categories!$A:$A,0)))</f>
        <v/>
      </c>
      <c r="J1468" s="4"/>
      <c r="K1468" s="4"/>
      <c r="L1468" s="4"/>
      <c r="M1468" s="4"/>
      <c r="N1468" s="4"/>
      <c r="O1468" s="4"/>
      <c r="P1468" s="4"/>
      <c r="Q1468" s="4"/>
    </row>
    <row r="1469">
      <c r="A1469" s="5">
        <v>1468.0</v>
      </c>
      <c r="B1469" s="5" t="s">
        <v>1888</v>
      </c>
      <c r="C1469" s="5" t="s">
        <v>14</v>
      </c>
      <c r="D1469" s="6">
        <f>IFERROR(__xludf.DUMMYFUNCTION("SPLIT(MID(C1469,2,LEN(C1469)-2), "","")"),1065.0)</f>
        <v>1065</v>
      </c>
      <c r="E1469" s="7"/>
      <c r="F1469" s="7"/>
      <c r="G1469" s="2" t="str">
        <f t="array" ref="G1469">IF(ISBLANK(D1469), "", INDEX(Categories!$B:$B,MATCH(D1469,Categories!$A:$A,0)))</f>
        <v>Hardware</v>
      </c>
      <c r="H1469" s="7" t="str">
        <f t="array" ref="H1469">IF(ISBLANK(E1469), "", INDEX(Categories!$B:$B,MATCH(E1469,Categories!$A:$A,0)))</f>
        <v/>
      </c>
      <c r="I1469" s="7" t="str">
        <f t="array" ref="I1469">IF(ISBLANK(F1469), "", INDEX(Categories!$B:$B,MATCH(F1469,Categories!$A:$A,0)))</f>
        <v/>
      </c>
      <c r="J1469" s="4"/>
      <c r="K1469" s="4"/>
      <c r="L1469" s="4"/>
      <c r="M1469" s="4"/>
      <c r="N1469" s="4"/>
      <c r="O1469" s="4"/>
      <c r="P1469" s="4"/>
      <c r="Q1469" s="4"/>
    </row>
    <row r="1470">
      <c r="A1470" s="5">
        <v>1469.0</v>
      </c>
      <c r="B1470" s="5" t="s">
        <v>1889</v>
      </c>
      <c r="C1470" s="5" t="s">
        <v>1890</v>
      </c>
      <c r="D1470" s="6">
        <f>IFERROR(__xludf.DUMMYFUNCTION("SPLIT(MID(C1470,2,LEN(C1470)-2), "","")"),1070.0)</f>
        <v>1070</v>
      </c>
      <c r="E1470" s="7"/>
      <c r="F1470" s="7"/>
      <c r="G1470" s="2" t="str">
        <f t="array" ref="G1470">IF(ISBLANK(D1470), "", INDEX(Categories!$B:$B,MATCH(D1470,Categories!$A:$A,0)))</f>
        <v>Hydraulic Equipment Repair</v>
      </c>
      <c r="H1470" s="7" t="str">
        <f t="array" ref="H1470">IF(ISBLANK(E1470), "", INDEX(Categories!$B:$B,MATCH(E1470,Categories!$A:$A,0)))</f>
        <v/>
      </c>
      <c r="I1470" s="7" t="str">
        <f t="array" ref="I1470">IF(ISBLANK(F1470), "", INDEX(Categories!$B:$B,MATCH(F1470,Categories!$A:$A,0)))</f>
        <v/>
      </c>
      <c r="J1470" s="4"/>
      <c r="K1470" s="4"/>
      <c r="L1470" s="4"/>
      <c r="M1470" s="4"/>
      <c r="N1470" s="4"/>
      <c r="O1470" s="4"/>
      <c r="P1470" s="4"/>
      <c r="Q1470" s="4"/>
    </row>
    <row r="1471">
      <c r="A1471" s="5">
        <v>1470.0</v>
      </c>
      <c r="B1471" s="5" t="s">
        <v>1891</v>
      </c>
      <c r="C1471" s="5" t="s">
        <v>1892</v>
      </c>
      <c r="D1471" s="6">
        <f>IFERROR(__xludf.DUMMYFUNCTION("SPLIT(MID(C1471,2,LEN(C1471)-2), "","")"),759.0)</f>
        <v>759</v>
      </c>
      <c r="E1471" s="7"/>
      <c r="F1471" s="7"/>
      <c r="G1471" s="2" t="str">
        <f t="array" ref="G1471">IF(ISBLANK(D1471), "", INDEX(Categories!$B:$B,MATCH(D1471,Categories!$A:$A,0)))</f>
        <v>Consignment Shops &amp; Services</v>
      </c>
      <c r="H1471" s="7" t="str">
        <f t="array" ref="H1471">IF(ISBLANK(E1471), "", INDEX(Categories!$B:$B,MATCH(E1471,Categories!$A:$A,0)))</f>
        <v/>
      </c>
      <c r="I1471" s="7" t="str">
        <f t="array" ref="I1471">IF(ISBLANK(F1471), "", INDEX(Categories!$B:$B,MATCH(F1471,Categories!$A:$A,0)))</f>
        <v/>
      </c>
      <c r="J1471" s="4"/>
      <c r="K1471" s="4"/>
      <c r="L1471" s="4"/>
      <c r="M1471" s="4"/>
      <c r="N1471" s="4"/>
      <c r="O1471" s="4"/>
      <c r="P1471" s="4"/>
      <c r="Q1471" s="4"/>
    </row>
    <row r="1472">
      <c r="A1472" s="5">
        <v>1471.0</v>
      </c>
      <c r="B1472" s="5" t="s">
        <v>1893</v>
      </c>
      <c r="C1472" s="5" t="s">
        <v>1480</v>
      </c>
      <c r="D1472" s="6">
        <f>IFERROR(__xludf.DUMMYFUNCTION("SPLIT(MID(C1472,2,LEN(C1472)-2), "","")"),328.0)</f>
        <v>328</v>
      </c>
      <c r="E1472" s="7"/>
      <c r="F1472" s="7"/>
      <c r="G1472" s="2" t="str">
        <f t="array" ref="G1472">IF(ISBLANK(D1472), "", INDEX(Categories!$B:$B,MATCH(D1472,Categories!$A:$A,0)))</f>
        <v>Golf Equipment &amp; Supplies</v>
      </c>
      <c r="H1472" s="7" t="str">
        <f t="array" ref="H1472">IF(ISBLANK(E1472), "", INDEX(Categories!$B:$B,MATCH(E1472,Categories!$A:$A,0)))</f>
        <v/>
      </c>
      <c r="I1472" s="7" t="str">
        <f t="array" ref="I1472">IF(ISBLANK(F1472), "", INDEX(Categories!$B:$B,MATCH(F1472,Categories!$A:$A,0)))</f>
        <v/>
      </c>
      <c r="J1472" s="4"/>
      <c r="K1472" s="4"/>
      <c r="L1472" s="4"/>
      <c r="M1472" s="4"/>
      <c r="N1472" s="4"/>
      <c r="O1472" s="4"/>
      <c r="P1472" s="4"/>
      <c r="Q1472" s="4"/>
    </row>
    <row r="1473">
      <c r="A1473" s="5">
        <v>1472.0</v>
      </c>
      <c r="B1473" s="5" t="s">
        <v>1894</v>
      </c>
      <c r="C1473" s="5" t="s">
        <v>1895</v>
      </c>
      <c r="D1473" s="6">
        <f>IFERROR(__xludf.DUMMYFUNCTION("SPLIT(MID(C1473,2,LEN(C1473)-2), "","")"),2285.0)</f>
        <v>2285</v>
      </c>
      <c r="E1473" s="7"/>
      <c r="F1473" s="7"/>
      <c r="G1473" s="2" t="str">
        <f t="array" ref="G1473">IF(ISBLANK(D1473), "", INDEX(Categories!$B:$B,MATCH(D1473,Categories!$A:$A,0)))</f>
        <v>Amusement Places</v>
      </c>
      <c r="H1473" s="7" t="str">
        <f t="array" ref="H1473">IF(ISBLANK(E1473), "", INDEX(Categories!$B:$B,MATCH(E1473,Categories!$A:$A,0)))</f>
        <v/>
      </c>
      <c r="I1473" s="7" t="str">
        <f t="array" ref="I1473">IF(ISBLANK(F1473), "", INDEX(Categories!$B:$B,MATCH(F1473,Categories!$A:$A,0)))</f>
        <v/>
      </c>
      <c r="J1473" s="4"/>
      <c r="K1473" s="4"/>
      <c r="L1473" s="4"/>
      <c r="M1473" s="4"/>
      <c r="N1473" s="4"/>
      <c r="O1473" s="4"/>
      <c r="P1473" s="4"/>
      <c r="Q1473" s="4"/>
    </row>
    <row r="1474">
      <c r="A1474" s="5">
        <v>1473.0</v>
      </c>
      <c r="B1474" s="5" t="s">
        <v>1896</v>
      </c>
      <c r="C1474" s="5" t="s">
        <v>18</v>
      </c>
      <c r="D1474" s="6">
        <f>IFERROR(__xludf.DUMMYFUNCTION("SPLIT(MID(C1474,2,LEN(C1474)-2), "","")"),121.0)</f>
        <v>121</v>
      </c>
      <c r="E1474" s="7"/>
      <c r="F1474" s="7"/>
      <c r="G1474" s="2" t="str">
        <f t="array" ref="G1474">IF(ISBLANK(D1474), "", INDEX(Categories!$B:$B,MATCH(D1474,Categories!$A:$A,0)))</f>
        <v>Insurance</v>
      </c>
      <c r="H1474" s="7" t="str">
        <f t="array" ref="H1474">IF(ISBLANK(E1474), "", INDEX(Categories!$B:$B,MATCH(E1474,Categories!$A:$A,0)))</f>
        <v/>
      </c>
      <c r="I1474" s="7" t="str">
        <f t="array" ref="I1474">IF(ISBLANK(F1474), "", INDEX(Categories!$B:$B,MATCH(F1474,Categories!$A:$A,0)))</f>
        <v/>
      </c>
      <c r="J1474" s="4"/>
      <c r="K1474" s="4"/>
      <c r="L1474" s="4"/>
      <c r="M1474" s="4"/>
      <c r="N1474" s="4"/>
      <c r="O1474" s="4"/>
      <c r="P1474" s="4"/>
      <c r="Q1474" s="4"/>
    </row>
    <row r="1475">
      <c r="A1475" s="5">
        <v>1474.0</v>
      </c>
      <c r="B1475" s="5" t="s">
        <v>1897</v>
      </c>
      <c r="C1475" s="5" t="s">
        <v>965</v>
      </c>
      <c r="D1475" s="6">
        <f>IFERROR(__xludf.DUMMYFUNCTION("SPLIT(MID(C1475,2,LEN(C1475)-2), "","")"),564.0)</f>
        <v>564</v>
      </c>
      <c r="E1475" s="7"/>
      <c r="F1475" s="7"/>
      <c r="G1475" s="2" t="str">
        <f t="array" ref="G1475">IF(ISBLANK(D1475), "", INDEX(Categories!$B:$B,MATCH(D1475,Categories!$A:$A,0)))</f>
        <v>Employment Training Service</v>
      </c>
      <c r="H1475" s="7" t="str">
        <f t="array" ref="H1475">IF(ISBLANK(E1475), "", INDEX(Categories!$B:$B,MATCH(E1475,Categories!$A:$A,0)))</f>
        <v/>
      </c>
      <c r="I1475" s="7" t="str">
        <f t="array" ref="I1475">IF(ISBLANK(F1475), "", INDEX(Categories!$B:$B,MATCH(F1475,Categories!$A:$A,0)))</f>
        <v/>
      </c>
      <c r="J1475" s="4"/>
      <c r="K1475" s="4"/>
      <c r="L1475" s="4"/>
      <c r="M1475" s="4"/>
      <c r="N1475" s="4"/>
      <c r="O1475" s="4"/>
      <c r="P1475" s="4"/>
      <c r="Q1475" s="4"/>
    </row>
    <row r="1476">
      <c r="A1476" s="5">
        <v>1475.0</v>
      </c>
      <c r="B1476" s="5" t="s">
        <v>1898</v>
      </c>
      <c r="C1476" s="5" t="s">
        <v>309</v>
      </c>
      <c r="D1476" s="6">
        <f>IFERROR(__xludf.DUMMYFUNCTION("SPLIT(MID(C1476,2,LEN(C1476)-2), "","")"),458.0)</f>
        <v>458</v>
      </c>
      <c r="E1476" s="7"/>
      <c r="F1476" s="7"/>
      <c r="G1476" s="2" t="str">
        <f t="array" ref="G1476">IF(ISBLANK(D1476), "", INDEX(Categories!$B:$B,MATCH(D1476,Categories!$A:$A,0)))</f>
        <v>Real Estate - Brokers &amp; Agents</v>
      </c>
      <c r="H1476" s="7" t="str">
        <f t="array" ref="H1476">IF(ISBLANK(E1476), "", INDEX(Categories!$B:$B,MATCH(E1476,Categories!$A:$A,0)))</f>
        <v/>
      </c>
      <c r="I1476" s="7" t="str">
        <f t="array" ref="I1476">IF(ISBLANK(F1476), "", INDEX(Categories!$B:$B,MATCH(F1476,Categories!$A:$A,0)))</f>
        <v/>
      </c>
      <c r="J1476" s="4"/>
      <c r="K1476" s="4"/>
      <c r="L1476" s="4"/>
      <c r="M1476" s="4"/>
      <c r="N1476" s="4"/>
      <c r="O1476" s="4"/>
      <c r="P1476" s="4"/>
      <c r="Q1476" s="4"/>
    </row>
    <row r="1477">
      <c r="A1477" s="5">
        <v>1476.0</v>
      </c>
      <c r="B1477" s="5" t="s">
        <v>1899</v>
      </c>
      <c r="C1477" s="5" t="s">
        <v>1900</v>
      </c>
      <c r="D1477" s="6">
        <f>IFERROR(__xludf.DUMMYFUNCTION("SPLIT(MID(C1477,2,LEN(C1477)-2), "","")"),464.0)</f>
        <v>464</v>
      </c>
      <c r="E1477" s="7"/>
      <c r="F1477" s="7"/>
      <c r="G1477" s="2" t="str">
        <f t="array" ref="G1477">IF(ISBLANK(D1477), "", INDEX(Categories!$B:$B,MATCH(D1477,Categories!$A:$A,0)))</f>
        <v>Real Estate</v>
      </c>
      <c r="H1477" s="7" t="str">
        <f t="array" ref="H1477">IF(ISBLANK(E1477), "", INDEX(Categories!$B:$B,MATCH(E1477,Categories!$A:$A,0)))</f>
        <v/>
      </c>
      <c r="I1477" s="7" t="str">
        <f t="array" ref="I1477">IF(ISBLANK(F1477), "", INDEX(Categories!$B:$B,MATCH(F1477,Categories!$A:$A,0)))</f>
        <v/>
      </c>
      <c r="J1477" s="4"/>
      <c r="K1477" s="4"/>
      <c r="L1477" s="4"/>
      <c r="M1477" s="4"/>
      <c r="N1477" s="4"/>
      <c r="O1477" s="4"/>
      <c r="P1477" s="4"/>
      <c r="Q1477" s="4"/>
    </row>
    <row r="1478">
      <c r="A1478" s="5">
        <v>1477.0</v>
      </c>
      <c r="B1478" s="5" t="s">
        <v>1901</v>
      </c>
      <c r="C1478" s="5" t="s">
        <v>1364</v>
      </c>
      <c r="D1478" s="6">
        <f>IFERROR(__xludf.DUMMYFUNCTION("SPLIT(MID(C1478,2,LEN(C1478)-2), "","")"),2543.0)</f>
        <v>2543</v>
      </c>
      <c r="E1478" s="7"/>
      <c r="F1478" s="7"/>
      <c r="G1478" s="2" t="str">
        <f t="array" ref="G1478">IF(ISBLANK(D1478), "", INDEX(Categories!$B:$B,MATCH(D1478,Categories!$A:$A,0)))</f>
        <v>Cleaning House &amp; Office</v>
      </c>
      <c r="H1478" s="7" t="str">
        <f t="array" ref="H1478">IF(ISBLANK(E1478), "", INDEX(Categories!$B:$B,MATCH(E1478,Categories!$A:$A,0)))</f>
        <v/>
      </c>
      <c r="I1478" s="7" t="str">
        <f t="array" ref="I1478">IF(ISBLANK(F1478), "", INDEX(Categories!$B:$B,MATCH(F1478,Categories!$A:$A,0)))</f>
        <v/>
      </c>
      <c r="J1478" s="4"/>
      <c r="K1478" s="4"/>
      <c r="L1478" s="4"/>
      <c r="M1478" s="4"/>
      <c r="N1478" s="4"/>
      <c r="O1478" s="4"/>
      <c r="P1478" s="4"/>
      <c r="Q1478" s="4"/>
    </row>
    <row r="1479">
      <c r="A1479" s="5">
        <v>1478.0</v>
      </c>
      <c r="B1479" s="5" t="s">
        <v>1902</v>
      </c>
      <c r="C1479" s="5" t="s">
        <v>34</v>
      </c>
      <c r="D1479" s="6">
        <f>IFERROR(__xludf.DUMMYFUNCTION("SPLIT(MID(C1479,2,LEN(C1479)-2), "","")"),228.0)</f>
        <v>228</v>
      </c>
      <c r="E1479" s="7"/>
      <c r="F1479" s="7"/>
      <c r="G1479" s="2" t="str">
        <f t="array" ref="G1479">IF(ISBLANK(D1479), "", INDEX(Categories!$B:$B,MATCH(D1479,Categories!$A:$A,0)))</f>
        <v>Restaurants</v>
      </c>
      <c r="H1479" s="7" t="str">
        <f t="array" ref="H1479">IF(ISBLANK(E1479), "", INDEX(Categories!$B:$B,MATCH(E1479,Categories!$A:$A,0)))</f>
        <v/>
      </c>
      <c r="I1479" s="7" t="str">
        <f t="array" ref="I1479">IF(ISBLANK(F1479), "", INDEX(Categories!$B:$B,MATCH(F1479,Categories!$A:$A,0)))</f>
        <v/>
      </c>
      <c r="J1479" s="4"/>
      <c r="K1479" s="4"/>
      <c r="L1479" s="4"/>
      <c r="M1479" s="4"/>
      <c r="N1479" s="4"/>
      <c r="O1479" s="4"/>
      <c r="P1479" s="4"/>
      <c r="Q1479" s="4"/>
    </row>
    <row r="1480">
      <c r="A1480" s="5">
        <v>1479.0</v>
      </c>
      <c r="B1480" s="5" t="s">
        <v>1903</v>
      </c>
      <c r="C1480" s="5" t="s">
        <v>826</v>
      </c>
      <c r="D1480" s="6">
        <f>IFERROR(__xludf.DUMMYFUNCTION("SPLIT(MID(C1480,2,LEN(C1480)-2), "","")"),2316.0)</f>
        <v>2316</v>
      </c>
      <c r="E1480" s="7"/>
      <c r="F1480" s="7"/>
      <c r="G1480" s="2" t="str">
        <f t="array" ref="G1480">IF(ISBLANK(D1480), "", INDEX(Categories!$B:$B,MATCH(D1480,Categories!$A:$A,0)))</f>
        <v>Lawn &amp; Grounds Maintenance</v>
      </c>
      <c r="H1480" s="7" t="str">
        <f t="array" ref="H1480">IF(ISBLANK(E1480), "", INDEX(Categories!$B:$B,MATCH(E1480,Categories!$A:$A,0)))</f>
        <v/>
      </c>
      <c r="I1480" s="7" t="str">
        <f t="array" ref="I1480">IF(ISBLANK(F1480), "", INDEX(Categories!$B:$B,MATCH(F1480,Categories!$A:$A,0)))</f>
        <v/>
      </c>
      <c r="J1480" s="4"/>
      <c r="K1480" s="4"/>
      <c r="L1480" s="4"/>
      <c r="M1480" s="4"/>
      <c r="N1480" s="4"/>
      <c r="O1480" s="4"/>
      <c r="P1480" s="4"/>
      <c r="Q1480" s="4"/>
    </row>
    <row r="1481">
      <c r="A1481" s="5">
        <v>1480.0</v>
      </c>
      <c r="B1481" s="5" t="s">
        <v>1904</v>
      </c>
      <c r="C1481" s="5" t="s">
        <v>102</v>
      </c>
      <c r="D1481" s="6">
        <f>IFERROR(__xludf.DUMMYFUNCTION("SPLIT(MID(C1481,2,LEN(C1481)-2), "","")"),298.0)</f>
        <v>298</v>
      </c>
      <c r="E1481" s="7"/>
      <c r="F1481" s="7"/>
      <c r="G1481" s="2" t="str">
        <f t="array" ref="G1481">IF(ISBLANK(D1481), "", INDEX(Categories!$B:$B,MATCH(D1481,Categories!$A:$A,0)))</f>
        <v>Financial Services</v>
      </c>
      <c r="H1481" s="7" t="str">
        <f t="array" ref="H1481">IF(ISBLANK(E1481), "", INDEX(Categories!$B:$B,MATCH(E1481,Categories!$A:$A,0)))</f>
        <v/>
      </c>
      <c r="I1481" s="7" t="str">
        <f t="array" ref="I1481">IF(ISBLANK(F1481), "", INDEX(Categories!$B:$B,MATCH(F1481,Categories!$A:$A,0)))</f>
        <v/>
      </c>
      <c r="J1481" s="4"/>
      <c r="K1481" s="4"/>
      <c r="L1481" s="4"/>
      <c r="M1481" s="4"/>
      <c r="N1481" s="4"/>
      <c r="O1481" s="4"/>
      <c r="P1481" s="4"/>
      <c r="Q1481" s="4"/>
    </row>
    <row r="1482">
      <c r="A1482" s="5">
        <v>1481.0</v>
      </c>
      <c r="B1482" s="5" t="s">
        <v>1905</v>
      </c>
      <c r="C1482" s="5" t="s">
        <v>491</v>
      </c>
      <c r="D1482" s="6">
        <f>IFERROR(__xludf.DUMMYFUNCTION("SPLIT(MID(C1482,2,LEN(C1482)-2), "","")"),692.0)</f>
        <v>692</v>
      </c>
      <c r="E1482" s="7"/>
      <c r="F1482" s="7"/>
      <c r="G1482" s="2" t="str">
        <f t="array" ref="G1482">IF(ISBLANK(D1482), "", INDEX(Categories!$B:$B,MATCH(D1482,Categories!$A:$A,0)))</f>
        <v>Greeting Cards Retail</v>
      </c>
      <c r="H1482" s="7" t="str">
        <f t="array" ref="H1482">IF(ISBLANK(E1482), "", INDEX(Categories!$B:$B,MATCH(E1482,Categories!$A:$A,0)))</f>
        <v/>
      </c>
      <c r="I1482" s="7" t="str">
        <f t="array" ref="I1482">IF(ISBLANK(F1482), "", INDEX(Categories!$B:$B,MATCH(F1482,Categories!$A:$A,0)))</f>
        <v/>
      </c>
      <c r="J1482" s="4"/>
      <c r="K1482" s="4"/>
      <c r="L1482" s="4"/>
      <c r="M1482" s="4"/>
      <c r="N1482" s="4"/>
      <c r="O1482" s="4"/>
      <c r="P1482" s="4"/>
      <c r="Q1482" s="4"/>
    </row>
    <row r="1483">
      <c r="A1483" s="5">
        <v>1482.0</v>
      </c>
      <c r="B1483" s="5" t="s">
        <v>1906</v>
      </c>
      <c r="C1483" s="5" t="s">
        <v>691</v>
      </c>
      <c r="D1483" s="6">
        <f>IFERROR(__xludf.DUMMYFUNCTION("SPLIT(MID(C1483,2,LEN(C1483)-2), "","")"),1323.0)</f>
        <v>1323</v>
      </c>
      <c r="E1483" s="7"/>
      <c r="F1483" s="7"/>
      <c r="G1483" s="2" t="str">
        <f t="array" ref="G1483">IF(ISBLANK(D1483), "", INDEX(Categories!$B:$B,MATCH(D1483,Categories!$A:$A,0)))</f>
        <v>Investment Advisory Service</v>
      </c>
      <c r="H1483" s="7" t="str">
        <f t="array" ref="H1483">IF(ISBLANK(E1483), "", INDEX(Categories!$B:$B,MATCH(E1483,Categories!$A:$A,0)))</f>
        <v/>
      </c>
      <c r="I1483" s="7" t="str">
        <f t="array" ref="I1483">IF(ISBLANK(F1483), "", INDEX(Categories!$B:$B,MATCH(F1483,Categories!$A:$A,0)))</f>
        <v/>
      </c>
      <c r="J1483" s="4"/>
      <c r="K1483" s="4"/>
      <c r="L1483" s="4"/>
      <c r="M1483" s="4"/>
      <c r="N1483" s="4"/>
      <c r="O1483" s="4"/>
      <c r="P1483" s="4"/>
      <c r="Q1483" s="4"/>
    </row>
    <row r="1484">
      <c r="A1484" s="5">
        <v>1483.0</v>
      </c>
      <c r="B1484" s="5" t="s">
        <v>1907</v>
      </c>
      <c r="C1484" s="5" t="s">
        <v>300</v>
      </c>
      <c r="D1484" s="6">
        <f>IFERROR(__xludf.DUMMYFUNCTION("SPLIT(MID(C1484,2,LEN(C1484)-2), "","")"),1105.0)</f>
        <v>1105</v>
      </c>
      <c r="E1484" s="7"/>
      <c r="F1484" s="7"/>
      <c r="G1484" s="2" t="str">
        <f t="array" ref="G1484">IF(ISBLANK(D1484), "", INDEX(Categories!$B:$B,MATCH(D1484,Categories!$A:$A,0)))</f>
        <v>Travel &amp; Tourism</v>
      </c>
      <c r="H1484" s="7" t="str">
        <f t="array" ref="H1484">IF(ISBLANK(E1484), "", INDEX(Categories!$B:$B,MATCH(E1484,Categories!$A:$A,0)))</f>
        <v/>
      </c>
      <c r="I1484" s="7" t="str">
        <f t="array" ref="I1484">IF(ISBLANK(F1484), "", INDEX(Categories!$B:$B,MATCH(F1484,Categories!$A:$A,0)))</f>
        <v/>
      </c>
      <c r="J1484" s="4"/>
      <c r="K1484" s="4"/>
      <c r="L1484" s="4"/>
      <c r="M1484" s="4"/>
      <c r="N1484" s="4"/>
      <c r="O1484" s="4"/>
      <c r="P1484" s="4"/>
      <c r="Q1484" s="4"/>
    </row>
    <row r="1485">
      <c r="A1485" s="5">
        <v>1484.0</v>
      </c>
      <c r="B1485" s="5" t="s">
        <v>1908</v>
      </c>
      <c r="C1485" s="5" t="s">
        <v>53</v>
      </c>
      <c r="D1485" s="6">
        <f>IFERROR(__xludf.DUMMYFUNCTION("SPLIT(MID(C1485,2,LEN(C1485)-2), "","")"),714.0)</f>
        <v>714</v>
      </c>
      <c r="E1485" s="7"/>
      <c r="F1485" s="7"/>
      <c r="G1485" s="2" t="str">
        <f t="array" ref="G1485">IF(ISBLANK(D1485), "", INDEX(Categories!$B:$B,MATCH(D1485,Categories!$A:$A,0)))</f>
        <v>Tax Return Preparation &amp; Filing</v>
      </c>
      <c r="H1485" s="7" t="str">
        <f t="array" ref="H1485">IF(ISBLANK(E1485), "", INDEX(Categories!$B:$B,MATCH(E1485,Categories!$A:$A,0)))</f>
        <v/>
      </c>
      <c r="I1485" s="7" t="str">
        <f t="array" ref="I1485">IF(ISBLANK(F1485), "", INDEX(Categories!$B:$B,MATCH(F1485,Categories!$A:$A,0)))</f>
        <v/>
      </c>
      <c r="J1485" s="4"/>
      <c r="K1485" s="4"/>
      <c r="L1485" s="4"/>
      <c r="M1485" s="4"/>
      <c r="N1485" s="4"/>
      <c r="O1485" s="4"/>
      <c r="P1485" s="4"/>
      <c r="Q1485" s="4"/>
    </row>
    <row r="1486">
      <c r="A1486" s="5">
        <v>1485.0</v>
      </c>
      <c r="B1486" s="5" t="s">
        <v>1909</v>
      </c>
      <c r="C1486" s="5" t="s">
        <v>1315</v>
      </c>
      <c r="D1486" s="6">
        <f>IFERROR(__xludf.DUMMYFUNCTION("SPLIT(MID(C1486,2,LEN(C1486)-2), "","")"),2566.0)</f>
        <v>2566</v>
      </c>
      <c r="E1486" s="7"/>
      <c r="F1486" s="7"/>
      <c r="G1486" s="2" t="str">
        <f t="array" ref="G1486">IF(ISBLANK(D1486), "", INDEX(Categories!$B:$B,MATCH(D1486,Categories!$A:$A,0)))</f>
        <v>Window Cleaning</v>
      </c>
      <c r="H1486" s="7" t="str">
        <f t="array" ref="H1486">IF(ISBLANK(E1486), "", INDEX(Categories!$B:$B,MATCH(E1486,Categories!$A:$A,0)))</f>
        <v/>
      </c>
      <c r="I1486" s="7" t="str">
        <f t="array" ref="I1486">IF(ISBLANK(F1486), "", INDEX(Categories!$B:$B,MATCH(F1486,Categories!$A:$A,0)))</f>
        <v/>
      </c>
      <c r="J1486" s="4"/>
      <c r="K1486" s="4"/>
      <c r="L1486" s="4"/>
      <c r="M1486" s="4"/>
      <c r="N1486" s="4"/>
      <c r="O1486" s="4"/>
      <c r="P1486" s="4"/>
      <c r="Q1486" s="4"/>
    </row>
    <row r="1487">
      <c r="A1487" s="5">
        <v>1486.0</v>
      </c>
      <c r="B1487" s="5" t="s">
        <v>1910</v>
      </c>
      <c r="C1487" s="5" t="s">
        <v>1876</v>
      </c>
      <c r="D1487" s="6">
        <f>IFERROR(__xludf.DUMMYFUNCTION("SPLIT(MID(C1487,2,LEN(C1487)-2), "","")"),2389.0)</f>
        <v>2389</v>
      </c>
      <c r="E1487" s="7"/>
      <c r="F1487" s="7"/>
      <c r="G1487" s="2" t="str">
        <f t="array" ref="G1487">IF(ISBLANK(D1487), "", INDEX(Categories!$B:$B,MATCH(D1487,Categories!$A:$A,0)))</f>
        <v>Dating Services</v>
      </c>
      <c r="H1487" s="7" t="str">
        <f t="array" ref="H1487">IF(ISBLANK(E1487), "", INDEX(Categories!$B:$B,MATCH(E1487,Categories!$A:$A,0)))</f>
        <v/>
      </c>
      <c r="I1487" s="7" t="str">
        <f t="array" ref="I1487">IF(ISBLANK(F1487), "", INDEX(Categories!$B:$B,MATCH(F1487,Categories!$A:$A,0)))</f>
        <v/>
      </c>
      <c r="J1487" s="4"/>
      <c r="K1487" s="4"/>
      <c r="L1487" s="4"/>
      <c r="M1487" s="4"/>
      <c r="N1487" s="4"/>
      <c r="O1487" s="4"/>
      <c r="P1487" s="4"/>
      <c r="Q1487" s="4"/>
    </row>
    <row r="1488">
      <c r="A1488" s="5">
        <v>1487.0</v>
      </c>
      <c r="B1488" s="5" t="s">
        <v>1911</v>
      </c>
      <c r="C1488" s="5" t="s">
        <v>346</v>
      </c>
      <c r="D1488" s="6">
        <f>IFERROR(__xludf.DUMMYFUNCTION("SPLIT(MID(C1488,2,LEN(C1488)-2), "","")"),610.0)</f>
        <v>610</v>
      </c>
      <c r="E1488" s="7"/>
      <c r="F1488" s="7"/>
      <c r="G1488" s="2" t="str">
        <f t="array" ref="G1488">IF(ISBLANK(D1488), "", INDEX(Categories!$B:$B,MATCH(D1488,Categories!$A:$A,0)))</f>
        <v>Supermarkets &amp; Super Stores</v>
      </c>
      <c r="H1488" s="7" t="str">
        <f t="array" ref="H1488">IF(ISBLANK(E1488), "", INDEX(Categories!$B:$B,MATCH(E1488,Categories!$A:$A,0)))</f>
        <v/>
      </c>
      <c r="I1488" s="7" t="str">
        <f t="array" ref="I1488">IF(ISBLANK(F1488), "", INDEX(Categories!$B:$B,MATCH(F1488,Categories!$A:$A,0)))</f>
        <v/>
      </c>
      <c r="J1488" s="4"/>
      <c r="K1488" s="4"/>
      <c r="L1488" s="4"/>
      <c r="M1488" s="4"/>
      <c r="N1488" s="4"/>
      <c r="O1488" s="4"/>
      <c r="P1488" s="4"/>
      <c r="Q1488" s="4"/>
    </row>
    <row r="1489">
      <c r="A1489" s="5">
        <v>1488.0</v>
      </c>
      <c r="B1489" s="5" t="s">
        <v>1912</v>
      </c>
      <c r="C1489" s="5" t="s">
        <v>309</v>
      </c>
      <c r="D1489" s="6">
        <f>IFERROR(__xludf.DUMMYFUNCTION("SPLIT(MID(C1489,2,LEN(C1489)-2), "","")"),458.0)</f>
        <v>458</v>
      </c>
      <c r="E1489" s="7"/>
      <c r="F1489" s="7"/>
      <c r="G1489" s="2" t="str">
        <f t="array" ref="G1489">IF(ISBLANK(D1489), "", INDEX(Categories!$B:$B,MATCH(D1489,Categories!$A:$A,0)))</f>
        <v>Real Estate - Brokers &amp; Agents</v>
      </c>
      <c r="H1489" s="7" t="str">
        <f t="array" ref="H1489">IF(ISBLANK(E1489), "", INDEX(Categories!$B:$B,MATCH(E1489,Categories!$A:$A,0)))</f>
        <v/>
      </c>
      <c r="I1489" s="7" t="str">
        <f t="array" ref="I1489">IF(ISBLANK(F1489), "", INDEX(Categories!$B:$B,MATCH(F1489,Categories!$A:$A,0)))</f>
        <v/>
      </c>
      <c r="J1489" s="4"/>
      <c r="K1489" s="4"/>
      <c r="L1489" s="4"/>
      <c r="M1489" s="4"/>
      <c r="N1489" s="4"/>
      <c r="O1489" s="4"/>
      <c r="P1489" s="4"/>
      <c r="Q1489" s="4"/>
    </row>
    <row r="1490">
      <c r="A1490" s="5">
        <v>1489.0</v>
      </c>
      <c r="B1490" s="5" t="s">
        <v>1913</v>
      </c>
      <c r="C1490" s="5" t="s">
        <v>96</v>
      </c>
      <c r="D1490" s="6">
        <f>IFERROR(__xludf.DUMMYFUNCTION("SPLIT(MID(C1490,2,LEN(C1490)-2), "","")"),572.0)</f>
        <v>572</v>
      </c>
      <c r="E1490" s="7"/>
      <c r="F1490" s="7"/>
      <c r="G1490" s="2" t="str">
        <f t="array" ref="G1490">IF(ISBLANK(D1490), "", INDEX(Categories!$B:$B,MATCH(D1490,Categories!$A:$A,0)))</f>
        <v>Groceries</v>
      </c>
      <c r="H1490" s="7" t="str">
        <f t="array" ref="H1490">IF(ISBLANK(E1490), "", INDEX(Categories!$B:$B,MATCH(E1490,Categories!$A:$A,0)))</f>
        <v/>
      </c>
      <c r="I1490" s="7" t="str">
        <f t="array" ref="I1490">IF(ISBLANK(F1490), "", INDEX(Categories!$B:$B,MATCH(F1490,Categories!$A:$A,0)))</f>
        <v/>
      </c>
      <c r="J1490" s="4"/>
      <c r="K1490" s="4"/>
      <c r="L1490" s="4"/>
      <c r="M1490" s="4"/>
      <c r="N1490" s="4"/>
      <c r="O1490" s="4"/>
      <c r="P1490" s="4"/>
      <c r="Q1490" s="4"/>
    </row>
    <row r="1491">
      <c r="A1491" s="5">
        <v>1490.0</v>
      </c>
      <c r="B1491" s="5" t="s">
        <v>1914</v>
      </c>
      <c r="C1491" s="5" t="s">
        <v>1364</v>
      </c>
      <c r="D1491" s="6">
        <f>IFERROR(__xludf.DUMMYFUNCTION("SPLIT(MID(C1491,2,LEN(C1491)-2), "","")"),2543.0)</f>
        <v>2543</v>
      </c>
      <c r="E1491" s="7"/>
      <c r="F1491" s="7"/>
      <c r="G1491" s="2" t="str">
        <f t="array" ref="G1491">IF(ISBLANK(D1491), "", INDEX(Categories!$B:$B,MATCH(D1491,Categories!$A:$A,0)))</f>
        <v>Cleaning House &amp; Office</v>
      </c>
      <c r="H1491" s="7" t="str">
        <f t="array" ref="H1491">IF(ISBLANK(E1491), "", INDEX(Categories!$B:$B,MATCH(E1491,Categories!$A:$A,0)))</f>
        <v/>
      </c>
      <c r="I1491" s="7" t="str">
        <f t="array" ref="I1491">IF(ISBLANK(F1491), "", INDEX(Categories!$B:$B,MATCH(F1491,Categories!$A:$A,0)))</f>
        <v/>
      </c>
      <c r="J1491" s="4"/>
      <c r="K1491" s="4"/>
      <c r="L1491" s="4"/>
      <c r="M1491" s="4"/>
      <c r="N1491" s="4"/>
      <c r="O1491" s="4"/>
      <c r="P1491" s="4"/>
      <c r="Q1491" s="4"/>
    </row>
    <row r="1492">
      <c r="A1492" s="5">
        <v>1491.0</v>
      </c>
      <c r="B1492" s="5" t="s">
        <v>1915</v>
      </c>
      <c r="C1492" s="5" t="s">
        <v>543</v>
      </c>
      <c r="D1492" s="6">
        <f>IFERROR(__xludf.DUMMYFUNCTION("SPLIT(MID(C1492,2,LEN(C1492)-2), "","")"),727.0)</f>
        <v>727</v>
      </c>
      <c r="E1492" s="7"/>
      <c r="F1492" s="7"/>
      <c r="G1492" s="2" t="str">
        <f t="array" ref="G1492">IF(ISBLANK(D1492), "", INDEX(Categories!$B:$B,MATCH(D1492,Categories!$A:$A,0)))</f>
        <v>Airlines &amp; Airports</v>
      </c>
      <c r="H1492" s="7" t="str">
        <f t="array" ref="H1492">IF(ISBLANK(E1492), "", INDEX(Categories!$B:$B,MATCH(E1492,Categories!$A:$A,0)))</f>
        <v/>
      </c>
      <c r="I1492" s="7" t="str">
        <f t="array" ref="I1492">IF(ISBLANK(F1492), "", INDEX(Categories!$B:$B,MATCH(F1492,Categories!$A:$A,0)))</f>
        <v/>
      </c>
      <c r="J1492" s="4"/>
      <c r="K1492" s="4"/>
      <c r="L1492" s="4"/>
      <c r="M1492" s="4"/>
      <c r="N1492" s="4"/>
      <c r="O1492" s="4"/>
      <c r="P1492" s="4"/>
      <c r="Q1492" s="4"/>
    </row>
    <row r="1493">
      <c r="A1493" s="5">
        <v>1492.0</v>
      </c>
      <c r="B1493" s="5" t="s">
        <v>1916</v>
      </c>
      <c r="C1493" s="5" t="s">
        <v>364</v>
      </c>
      <c r="D1493" s="6">
        <f>IFERROR(__xludf.DUMMYFUNCTION("SPLIT(MID(C1493,2,LEN(C1493)-2), "","")"),555.0)</f>
        <v>555</v>
      </c>
      <c r="E1493" s="7"/>
      <c r="F1493" s="7"/>
      <c r="G1493" s="2" t="str">
        <f t="array" ref="G1493">IF(ISBLANK(D1493), "", INDEX(Categories!$B:$B,MATCH(D1493,Categories!$A:$A,0)))</f>
        <v>Dry Cleaners</v>
      </c>
      <c r="H1493" s="7" t="str">
        <f t="array" ref="H1493">IF(ISBLANK(E1493), "", INDEX(Categories!$B:$B,MATCH(E1493,Categories!$A:$A,0)))</f>
        <v/>
      </c>
      <c r="I1493" s="7" t="str">
        <f t="array" ref="I1493">IF(ISBLANK(F1493), "", INDEX(Categories!$B:$B,MATCH(F1493,Categories!$A:$A,0)))</f>
        <v/>
      </c>
      <c r="J1493" s="4"/>
      <c r="K1493" s="4"/>
      <c r="L1493" s="4"/>
      <c r="M1493" s="4"/>
      <c r="N1493" s="4"/>
      <c r="O1493" s="4"/>
      <c r="P1493" s="4"/>
      <c r="Q1493" s="4"/>
    </row>
    <row r="1494">
      <c r="A1494" s="5">
        <v>1493.0</v>
      </c>
      <c r="B1494" s="5" t="s">
        <v>1917</v>
      </c>
      <c r="C1494" s="5" t="s">
        <v>69</v>
      </c>
      <c r="D1494" s="6">
        <f>IFERROR(__xludf.DUMMYFUNCTION("SPLIT(MID(C1494,2,LEN(C1494)-2), "","")"),293.0)</f>
        <v>293</v>
      </c>
      <c r="E1494" s="7"/>
      <c r="F1494" s="7"/>
      <c r="G1494" s="2" t="str">
        <f t="array" ref="G1494">IF(ISBLANK(D1494), "", INDEX(Categories!$B:$B,MATCH(D1494,Categories!$A:$A,0)))</f>
        <v>Banks Commercial</v>
      </c>
      <c r="H1494" s="7" t="str">
        <f t="array" ref="H1494">IF(ISBLANK(E1494), "", INDEX(Categories!$B:$B,MATCH(E1494,Categories!$A:$A,0)))</f>
        <v/>
      </c>
      <c r="I1494" s="7" t="str">
        <f t="array" ref="I1494">IF(ISBLANK(F1494), "", INDEX(Categories!$B:$B,MATCH(F1494,Categories!$A:$A,0)))</f>
        <v/>
      </c>
      <c r="J1494" s="4"/>
      <c r="K1494" s="4"/>
      <c r="L1494" s="4"/>
      <c r="M1494" s="4"/>
      <c r="N1494" s="4"/>
      <c r="O1494" s="4"/>
      <c r="P1494" s="4"/>
      <c r="Q1494" s="4"/>
    </row>
    <row r="1495">
      <c r="A1495" s="5">
        <v>1494.0</v>
      </c>
      <c r="B1495" s="5" t="s">
        <v>1918</v>
      </c>
      <c r="C1495" s="5" t="s">
        <v>1900</v>
      </c>
      <c r="D1495" s="6">
        <f>IFERROR(__xludf.DUMMYFUNCTION("SPLIT(MID(C1495,2,LEN(C1495)-2), "","")"),464.0)</f>
        <v>464</v>
      </c>
      <c r="E1495" s="7"/>
      <c r="F1495" s="7"/>
      <c r="G1495" s="2" t="str">
        <f t="array" ref="G1495">IF(ISBLANK(D1495), "", INDEX(Categories!$B:$B,MATCH(D1495,Categories!$A:$A,0)))</f>
        <v>Real Estate</v>
      </c>
      <c r="H1495" s="7" t="str">
        <f t="array" ref="H1495">IF(ISBLANK(E1495), "", INDEX(Categories!$B:$B,MATCH(E1495,Categories!$A:$A,0)))</f>
        <v/>
      </c>
      <c r="I1495" s="7" t="str">
        <f t="array" ref="I1495">IF(ISBLANK(F1495), "", INDEX(Categories!$B:$B,MATCH(F1495,Categories!$A:$A,0)))</f>
        <v/>
      </c>
      <c r="J1495" s="4"/>
      <c r="K1495" s="4"/>
      <c r="L1495" s="4"/>
      <c r="M1495" s="4"/>
      <c r="N1495" s="4"/>
      <c r="O1495" s="4"/>
      <c r="P1495" s="4"/>
      <c r="Q1495" s="4"/>
    </row>
    <row r="1496">
      <c r="A1496" s="5">
        <v>1495.0</v>
      </c>
      <c r="B1496" s="5" t="s">
        <v>1919</v>
      </c>
      <c r="C1496" s="5" t="s">
        <v>346</v>
      </c>
      <c r="D1496" s="6">
        <f>IFERROR(__xludf.DUMMYFUNCTION("SPLIT(MID(C1496,2,LEN(C1496)-2), "","")"),610.0)</f>
        <v>610</v>
      </c>
      <c r="E1496" s="7"/>
      <c r="F1496" s="7"/>
      <c r="G1496" s="2" t="str">
        <f t="array" ref="G1496">IF(ISBLANK(D1496), "", INDEX(Categories!$B:$B,MATCH(D1496,Categories!$A:$A,0)))</f>
        <v>Supermarkets &amp; Super Stores</v>
      </c>
      <c r="H1496" s="7" t="str">
        <f t="array" ref="H1496">IF(ISBLANK(E1496), "", INDEX(Categories!$B:$B,MATCH(E1496,Categories!$A:$A,0)))</f>
        <v/>
      </c>
      <c r="I1496" s="7" t="str">
        <f t="array" ref="I1496">IF(ISBLANK(F1496), "", INDEX(Categories!$B:$B,MATCH(F1496,Categories!$A:$A,0)))</f>
        <v/>
      </c>
      <c r="J1496" s="4"/>
      <c r="K1496" s="4"/>
      <c r="L1496" s="4"/>
      <c r="M1496" s="4"/>
      <c r="N1496" s="4"/>
      <c r="O1496" s="4"/>
      <c r="P1496" s="4"/>
      <c r="Q1496" s="4"/>
    </row>
    <row r="1497">
      <c r="A1497" s="5">
        <v>1496.0</v>
      </c>
      <c r="B1497" s="5" t="s">
        <v>1920</v>
      </c>
      <c r="C1497" s="5" t="s">
        <v>1921</v>
      </c>
      <c r="D1497" s="6">
        <f>IFERROR(__xludf.DUMMYFUNCTION("SPLIT(MID(C1497,2,LEN(C1497)-2), "","")"),2266.0)</f>
        <v>2266</v>
      </c>
      <c r="E1497" s="7"/>
      <c r="F1497" s="7"/>
      <c r="G1497" s="2" t="str">
        <f t="array" ref="G1497">IF(ISBLANK(D1497), "", INDEX(Categories!$B:$B,MATCH(D1497,Categories!$A:$A,0)))</f>
        <v>Engineering Services</v>
      </c>
      <c r="H1497" s="7" t="str">
        <f t="array" ref="H1497">IF(ISBLANK(E1497), "", INDEX(Categories!$B:$B,MATCH(E1497,Categories!$A:$A,0)))</f>
        <v/>
      </c>
      <c r="I1497" s="7" t="str">
        <f t="array" ref="I1497">IF(ISBLANK(F1497), "", INDEX(Categories!$B:$B,MATCH(F1497,Categories!$A:$A,0)))</f>
        <v/>
      </c>
      <c r="J1497" s="4"/>
      <c r="K1497" s="4"/>
      <c r="L1497" s="4"/>
      <c r="M1497" s="4"/>
      <c r="N1497" s="4"/>
      <c r="O1497" s="4"/>
      <c r="P1497" s="4"/>
      <c r="Q1497" s="4"/>
    </row>
    <row r="1498">
      <c r="A1498" s="5">
        <v>1497.0</v>
      </c>
      <c r="B1498" s="5" t="s">
        <v>1922</v>
      </c>
      <c r="C1498" s="5" t="s">
        <v>1923</v>
      </c>
      <c r="D1498" s="6">
        <f>IFERROR(__xludf.DUMMYFUNCTION("SPLIT(MID(C1498,2,LEN(C1498)-2), "","")"),771.0)</f>
        <v>771</v>
      </c>
      <c r="E1498" s="7"/>
      <c r="F1498" s="7"/>
      <c r="G1498" s="2" t="str">
        <f t="array" ref="G1498">IF(ISBLANK(D1498), "", INDEX(Categories!$B:$B,MATCH(D1498,Categories!$A:$A,0)))</f>
        <v>Dance Instruction</v>
      </c>
      <c r="H1498" s="7" t="str">
        <f t="array" ref="H1498">IF(ISBLANK(E1498), "", INDEX(Categories!$B:$B,MATCH(E1498,Categories!$A:$A,0)))</f>
        <v/>
      </c>
      <c r="I1498" s="7" t="str">
        <f t="array" ref="I1498">IF(ISBLANK(F1498), "", INDEX(Categories!$B:$B,MATCH(F1498,Categories!$A:$A,0)))</f>
        <v/>
      </c>
      <c r="J1498" s="4"/>
      <c r="K1498" s="4"/>
      <c r="L1498" s="4"/>
      <c r="M1498" s="4"/>
      <c r="N1498" s="4"/>
      <c r="O1498" s="4"/>
      <c r="P1498" s="4"/>
      <c r="Q1498" s="4"/>
    </row>
    <row r="1499">
      <c r="A1499" s="5">
        <v>1498.0</v>
      </c>
      <c r="B1499" s="5" t="s">
        <v>1924</v>
      </c>
      <c r="C1499" s="5" t="s">
        <v>249</v>
      </c>
      <c r="D1499" s="6">
        <f>IFERROR(__xludf.DUMMYFUNCTION("SPLIT(MID(C1499,2,LEN(C1499)-2), "","")"),593.0)</f>
        <v>593</v>
      </c>
      <c r="E1499" s="7"/>
      <c r="F1499" s="7"/>
      <c r="G1499" s="2" t="str">
        <f t="array" ref="G1499">IF(ISBLANK(D1499), "", INDEX(Categories!$B:$B,MATCH(D1499,Categories!$A:$A,0)))</f>
        <v>Ice Cream &amp; Frozen Desserts Dealers</v>
      </c>
      <c r="H1499" s="7" t="str">
        <f t="array" ref="H1499">IF(ISBLANK(E1499), "", INDEX(Categories!$B:$B,MATCH(E1499,Categories!$A:$A,0)))</f>
        <v/>
      </c>
      <c r="I1499" s="7" t="str">
        <f t="array" ref="I1499">IF(ISBLANK(F1499), "", INDEX(Categories!$B:$B,MATCH(F1499,Categories!$A:$A,0)))</f>
        <v/>
      </c>
      <c r="J1499" s="4"/>
      <c r="K1499" s="4"/>
      <c r="L1499" s="4"/>
      <c r="M1499" s="4"/>
      <c r="N1499" s="4"/>
      <c r="O1499" s="4"/>
      <c r="P1499" s="4"/>
      <c r="Q1499" s="4"/>
    </row>
    <row r="1500">
      <c r="A1500" s="5">
        <v>1499.0</v>
      </c>
      <c r="B1500" s="5" t="s">
        <v>1925</v>
      </c>
      <c r="C1500" s="5" t="s">
        <v>1926</v>
      </c>
      <c r="D1500" s="6">
        <f>IFERROR(__xludf.DUMMYFUNCTION("SPLIT(MID(C1500,2,LEN(C1500)-2), "","")"),1242.0)</f>
        <v>1242</v>
      </c>
      <c r="E1500" s="7"/>
      <c r="F1500" s="7"/>
      <c r="G1500" s="2" t="str">
        <f t="array" ref="G1500">IF(ISBLANK(D1500), "", INDEX(Categories!$B:$B,MATCH(D1500,Categories!$A:$A,0)))</f>
        <v>Baby Accessories &amp; Services</v>
      </c>
      <c r="H1500" s="7" t="str">
        <f t="array" ref="H1500">IF(ISBLANK(E1500), "", INDEX(Categories!$B:$B,MATCH(E1500,Categories!$A:$A,0)))</f>
        <v/>
      </c>
      <c r="I1500" s="7" t="str">
        <f t="array" ref="I1500">IF(ISBLANK(F1500), "", INDEX(Categories!$B:$B,MATCH(F1500,Categories!$A:$A,0)))</f>
        <v/>
      </c>
      <c r="J1500" s="4"/>
      <c r="K1500" s="4"/>
      <c r="L1500" s="4"/>
      <c r="M1500" s="4"/>
      <c r="N1500" s="4"/>
      <c r="O1500" s="4"/>
      <c r="P1500" s="4"/>
      <c r="Q1500" s="4"/>
    </row>
    <row r="1501">
      <c r="A1501" s="5">
        <v>1500.0</v>
      </c>
      <c r="B1501" s="5" t="s">
        <v>1927</v>
      </c>
      <c r="C1501" s="5" t="s">
        <v>69</v>
      </c>
      <c r="D1501" s="6">
        <f>IFERROR(__xludf.DUMMYFUNCTION("SPLIT(MID(C1501,2,LEN(C1501)-2), "","")"),293.0)</f>
        <v>293</v>
      </c>
      <c r="E1501" s="7"/>
      <c r="F1501" s="7"/>
      <c r="G1501" s="2" t="str">
        <f t="array" ref="G1501">IF(ISBLANK(D1501), "", INDEX(Categories!$B:$B,MATCH(D1501,Categories!$A:$A,0)))</f>
        <v>Banks Commercial</v>
      </c>
      <c r="H1501" s="7" t="str">
        <f t="array" ref="H1501">IF(ISBLANK(E1501), "", INDEX(Categories!$B:$B,MATCH(E1501,Categories!$A:$A,0)))</f>
        <v/>
      </c>
      <c r="I1501" s="7" t="str">
        <f t="array" ref="I1501">IF(ISBLANK(F1501), "", INDEX(Categories!$B:$B,MATCH(F1501,Categories!$A:$A,0)))</f>
        <v/>
      </c>
      <c r="J1501" s="4"/>
      <c r="K1501" s="4"/>
      <c r="L1501" s="4"/>
      <c r="M1501" s="4"/>
      <c r="N1501" s="4"/>
      <c r="O1501" s="4"/>
      <c r="P1501" s="4"/>
      <c r="Q1501" s="4"/>
    </row>
    <row r="1502">
      <c r="A1502" s="5">
        <v>1501.0</v>
      </c>
      <c r="B1502" s="5" t="s">
        <v>1928</v>
      </c>
      <c r="C1502" s="5" t="s">
        <v>139</v>
      </c>
      <c r="D1502" s="6">
        <f>IFERROR(__xludf.DUMMYFUNCTION("SPLIT(MID(C1502,2,LEN(C1502)-2), "","")"),1617.0)</f>
        <v>1617</v>
      </c>
      <c r="E1502" s="7"/>
      <c r="F1502" s="7"/>
      <c r="G1502" s="2" t="str">
        <f t="array" ref="G1502">IF(ISBLANK(D1502), "", INDEX(Categories!$B:$B,MATCH(D1502,Categories!$A:$A,0)))</f>
        <v>Department Stores</v>
      </c>
      <c r="H1502" s="7" t="str">
        <f t="array" ref="H1502">IF(ISBLANK(E1502), "", INDEX(Categories!$B:$B,MATCH(E1502,Categories!$A:$A,0)))</f>
        <v/>
      </c>
      <c r="I1502" s="7" t="str">
        <f t="array" ref="I1502">IF(ISBLANK(F1502), "", INDEX(Categories!$B:$B,MATCH(F1502,Categories!$A:$A,0)))</f>
        <v/>
      </c>
      <c r="J1502" s="4"/>
      <c r="K1502" s="4"/>
      <c r="L1502" s="4"/>
      <c r="M1502" s="4"/>
      <c r="N1502" s="4"/>
      <c r="O1502" s="4"/>
      <c r="P1502" s="4"/>
      <c r="Q1502" s="4"/>
    </row>
    <row r="1503">
      <c r="A1503" s="5">
        <v>1502.0</v>
      </c>
      <c r="B1503" s="5" t="s">
        <v>1929</v>
      </c>
      <c r="C1503" s="5" t="s">
        <v>303</v>
      </c>
      <c r="D1503" s="6">
        <f>IFERROR(__xludf.DUMMYFUNCTION("SPLIT(MID(C1503,2,LEN(C1503)-2), "","")"),1241.0)</f>
        <v>1241</v>
      </c>
      <c r="E1503" s="7"/>
      <c r="F1503" s="7"/>
      <c r="G1503" s="2" t="str">
        <f t="array" ref="G1503">IF(ISBLANK(D1503), "", INDEX(Categories!$B:$B,MATCH(D1503,Categories!$A:$A,0)))</f>
        <v>Clothing &amp; Accessories</v>
      </c>
      <c r="H1503" s="7" t="str">
        <f t="array" ref="H1503">IF(ISBLANK(E1503), "", INDEX(Categories!$B:$B,MATCH(E1503,Categories!$A:$A,0)))</f>
        <v/>
      </c>
      <c r="I1503" s="7" t="str">
        <f t="array" ref="I1503">IF(ISBLANK(F1503), "", INDEX(Categories!$B:$B,MATCH(F1503,Categories!$A:$A,0)))</f>
        <v/>
      </c>
      <c r="J1503" s="4"/>
      <c r="K1503" s="4"/>
      <c r="L1503" s="4"/>
      <c r="M1503" s="4"/>
      <c r="N1503" s="4"/>
      <c r="O1503" s="4"/>
      <c r="P1503" s="4"/>
      <c r="Q1503" s="4"/>
    </row>
    <row r="1504">
      <c r="A1504" s="5">
        <v>1503.0</v>
      </c>
      <c r="B1504" s="5" t="s">
        <v>1930</v>
      </c>
      <c r="C1504" s="5" t="s">
        <v>200</v>
      </c>
      <c r="D1504" s="6">
        <f>IFERROR(__xludf.DUMMYFUNCTION("SPLIT(MID(C1504,2,LEN(C1504)-2), "","")"),316.0)</f>
        <v>316</v>
      </c>
      <c r="E1504" s="7"/>
      <c r="F1504" s="7"/>
      <c r="G1504" s="2" t="str">
        <f t="array" ref="G1504">IF(ISBLANK(D1504), "", INDEX(Categories!$B:$B,MATCH(D1504,Categories!$A:$A,0)))</f>
        <v>Sporting Goods</v>
      </c>
      <c r="H1504" s="7" t="str">
        <f t="array" ref="H1504">IF(ISBLANK(E1504), "", INDEX(Categories!$B:$B,MATCH(E1504,Categories!$A:$A,0)))</f>
        <v/>
      </c>
      <c r="I1504" s="7" t="str">
        <f t="array" ref="I1504">IF(ISBLANK(F1504), "", INDEX(Categories!$B:$B,MATCH(F1504,Categories!$A:$A,0)))</f>
        <v/>
      </c>
      <c r="J1504" s="4"/>
      <c r="K1504" s="4"/>
      <c r="L1504" s="4"/>
      <c r="M1504" s="4"/>
      <c r="N1504" s="4"/>
      <c r="O1504" s="4"/>
      <c r="P1504" s="4"/>
      <c r="Q1504" s="4"/>
    </row>
    <row r="1505">
      <c r="A1505" s="5">
        <v>1504.0</v>
      </c>
      <c r="B1505" s="5" t="s">
        <v>1931</v>
      </c>
      <c r="C1505" s="5" t="s">
        <v>1932</v>
      </c>
      <c r="D1505" s="6">
        <f>IFERROR(__xludf.DUMMYFUNCTION("SPLIT(MID(C1505,2,LEN(C1505)-2), "","")"),710.0)</f>
        <v>710</v>
      </c>
      <c r="E1505" s="7"/>
      <c r="F1505" s="7"/>
      <c r="G1505" s="2" t="str">
        <f t="array" ref="G1505">IF(ISBLANK(D1505), "", INDEX(Categories!$B:$B,MATCH(D1505,Categories!$A:$A,0)))</f>
        <v>Photographic Equipment &amp; Supplies</v>
      </c>
      <c r="H1505" s="7" t="str">
        <f t="array" ref="H1505">IF(ISBLANK(E1505), "", INDEX(Categories!$B:$B,MATCH(E1505,Categories!$A:$A,0)))</f>
        <v/>
      </c>
      <c r="I1505" s="7" t="str">
        <f t="array" ref="I1505">IF(ISBLANK(F1505), "", INDEX(Categories!$B:$B,MATCH(F1505,Categories!$A:$A,0)))</f>
        <v/>
      </c>
      <c r="J1505" s="4"/>
      <c r="K1505" s="4"/>
      <c r="L1505" s="4"/>
      <c r="M1505" s="4"/>
      <c r="N1505" s="4"/>
      <c r="O1505" s="4"/>
      <c r="P1505" s="4"/>
      <c r="Q1505" s="4"/>
    </row>
    <row r="1506">
      <c r="A1506" s="5">
        <v>1505.0</v>
      </c>
      <c r="B1506" s="5" t="s">
        <v>1933</v>
      </c>
      <c r="C1506" s="5" t="s">
        <v>115</v>
      </c>
      <c r="D1506" s="6">
        <f>IFERROR(__xludf.DUMMYFUNCTION("SPLIT(MID(C1506,2,LEN(C1506)-2), "","")"),1272.0)</f>
        <v>1272</v>
      </c>
      <c r="E1506" s="7"/>
      <c r="F1506" s="7"/>
      <c r="G1506" s="2" t="str">
        <f t="array" ref="G1506">IF(ISBLANK(D1506), "", INDEX(Categories!$B:$B,MATCH(D1506,Categories!$A:$A,0)))</f>
        <v>Womens Apparel</v>
      </c>
      <c r="H1506" s="7" t="str">
        <f t="array" ref="H1506">IF(ISBLANK(E1506), "", INDEX(Categories!$B:$B,MATCH(E1506,Categories!$A:$A,0)))</f>
        <v/>
      </c>
      <c r="I1506" s="7" t="str">
        <f t="array" ref="I1506">IF(ISBLANK(F1506), "", INDEX(Categories!$B:$B,MATCH(F1506,Categories!$A:$A,0)))</f>
        <v/>
      </c>
      <c r="J1506" s="4"/>
      <c r="K1506" s="4"/>
      <c r="L1506" s="4"/>
      <c r="M1506" s="4"/>
      <c r="N1506" s="4"/>
      <c r="O1506" s="4"/>
      <c r="P1506" s="4"/>
      <c r="Q1506" s="4"/>
    </row>
    <row r="1507">
      <c r="A1507" s="5">
        <v>1506.0</v>
      </c>
      <c r="B1507" s="5" t="s">
        <v>1934</v>
      </c>
      <c r="C1507" s="5" t="s">
        <v>1081</v>
      </c>
      <c r="D1507" s="6">
        <f>IFERROR(__xludf.DUMMYFUNCTION("SPLIT(MID(C1507,2,LEN(C1507)-2), "","")"),18.0)</f>
        <v>18</v>
      </c>
      <c r="E1507" s="7"/>
      <c r="F1507" s="7"/>
      <c r="G1507" s="2" t="str">
        <f t="array" ref="G1507">IF(ISBLANK(D1507), "", INDEX(Categories!$B:$B,MATCH(D1507,Categories!$A:$A,0)))</f>
        <v>Furniture</v>
      </c>
      <c r="H1507" s="7" t="str">
        <f t="array" ref="H1507">IF(ISBLANK(E1507), "", INDEX(Categories!$B:$B,MATCH(E1507,Categories!$A:$A,0)))</f>
        <v/>
      </c>
      <c r="I1507" s="7" t="str">
        <f t="array" ref="I1507">IF(ISBLANK(F1507), "", INDEX(Categories!$B:$B,MATCH(F1507,Categories!$A:$A,0)))</f>
        <v/>
      </c>
      <c r="J1507" s="4"/>
      <c r="K1507" s="4"/>
      <c r="L1507" s="4"/>
      <c r="M1507" s="4"/>
      <c r="N1507" s="4"/>
      <c r="O1507" s="4"/>
      <c r="P1507" s="4"/>
      <c r="Q1507" s="4"/>
    </row>
    <row r="1508">
      <c r="A1508" s="5">
        <v>1507.0</v>
      </c>
      <c r="B1508" s="5" t="s">
        <v>1935</v>
      </c>
      <c r="C1508" s="5" t="s">
        <v>631</v>
      </c>
      <c r="D1508" s="6">
        <f>IFERROR(__xludf.DUMMYFUNCTION("SPLIT(MID(C1508,2,LEN(C1508)-2), "","")"),25.0)</f>
        <v>25</v>
      </c>
      <c r="E1508" s="7"/>
      <c r="F1508" s="7"/>
      <c r="G1508" s="2" t="str">
        <f t="array" ref="G1508">IF(ISBLANK(D1508), "", INDEX(Categories!$B:$B,MATCH(D1508,Categories!$A:$A,0)))</f>
        <v>Furniture Dealers</v>
      </c>
      <c r="H1508" s="7" t="str">
        <f t="array" ref="H1508">IF(ISBLANK(E1508), "", INDEX(Categories!$B:$B,MATCH(E1508,Categories!$A:$A,0)))</f>
        <v/>
      </c>
      <c r="I1508" s="7" t="str">
        <f t="array" ref="I1508">IF(ISBLANK(F1508), "", INDEX(Categories!$B:$B,MATCH(F1508,Categories!$A:$A,0)))</f>
        <v/>
      </c>
      <c r="J1508" s="4"/>
      <c r="K1508" s="4"/>
      <c r="L1508" s="4"/>
      <c r="M1508" s="4"/>
      <c r="N1508" s="4"/>
      <c r="O1508" s="4"/>
      <c r="P1508" s="4"/>
      <c r="Q1508" s="4"/>
    </row>
    <row r="1509">
      <c r="A1509" s="5">
        <v>1508.0</v>
      </c>
      <c r="B1509" s="5" t="s">
        <v>1936</v>
      </c>
      <c r="C1509" s="5" t="s">
        <v>200</v>
      </c>
      <c r="D1509" s="6">
        <f>IFERROR(__xludf.DUMMYFUNCTION("SPLIT(MID(C1509,2,LEN(C1509)-2), "","")"),316.0)</f>
        <v>316</v>
      </c>
      <c r="E1509" s="7"/>
      <c r="F1509" s="7"/>
      <c r="G1509" s="2" t="str">
        <f t="array" ref="G1509">IF(ISBLANK(D1509), "", INDEX(Categories!$B:$B,MATCH(D1509,Categories!$A:$A,0)))</f>
        <v>Sporting Goods</v>
      </c>
      <c r="H1509" s="7" t="str">
        <f t="array" ref="H1509">IF(ISBLANK(E1509), "", INDEX(Categories!$B:$B,MATCH(E1509,Categories!$A:$A,0)))</f>
        <v/>
      </c>
      <c r="I1509" s="7" t="str">
        <f t="array" ref="I1509">IF(ISBLANK(F1509), "", INDEX(Categories!$B:$B,MATCH(F1509,Categories!$A:$A,0)))</f>
        <v/>
      </c>
      <c r="J1509" s="4"/>
      <c r="K1509" s="4"/>
      <c r="L1509" s="4"/>
      <c r="M1509" s="4"/>
      <c r="N1509" s="4"/>
      <c r="O1509" s="4"/>
      <c r="P1509" s="4"/>
      <c r="Q1509" s="4"/>
    </row>
    <row r="1510">
      <c r="A1510" s="5">
        <v>1509.0</v>
      </c>
      <c r="B1510" s="5" t="s">
        <v>1937</v>
      </c>
      <c r="C1510" s="5" t="s">
        <v>200</v>
      </c>
      <c r="D1510" s="6">
        <f>IFERROR(__xludf.DUMMYFUNCTION("SPLIT(MID(C1510,2,LEN(C1510)-2), "","")"),316.0)</f>
        <v>316</v>
      </c>
      <c r="E1510" s="7"/>
      <c r="F1510" s="7"/>
      <c r="G1510" s="2" t="str">
        <f t="array" ref="G1510">IF(ISBLANK(D1510), "", INDEX(Categories!$B:$B,MATCH(D1510,Categories!$A:$A,0)))</f>
        <v>Sporting Goods</v>
      </c>
      <c r="H1510" s="7" t="str">
        <f t="array" ref="H1510">IF(ISBLANK(E1510), "", INDEX(Categories!$B:$B,MATCH(E1510,Categories!$A:$A,0)))</f>
        <v/>
      </c>
      <c r="I1510" s="7" t="str">
        <f t="array" ref="I1510">IF(ISBLANK(F1510), "", INDEX(Categories!$B:$B,MATCH(F1510,Categories!$A:$A,0)))</f>
        <v/>
      </c>
      <c r="J1510" s="4"/>
      <c r="K1510" s="4"/>
      <c r="L1510" s="4"/>
      <c r="M1510" s="4"/>
      <c r="N1510" s="4"/>
      <c r="O1510" s="4"/>
      <c r="P1510" s="4"/>
      <c r="Q1510" s="4"/>
    </row>
    <row r="1511">
      <c r="A1511" s="5">
        <v>1510.0</v>
      </c>
      <c r="B1511" s="5" t="s">
        <v>1938</v>
      </c>
      <c r="C1511" s="5" t="s">
        <v>1480</v>
      </c>
      <c r="D1511" s="6">
        <f>IFERROR(__xludf.DUMMYFUNCTION("SPLIT(MID(C1511,2,LEN(C1511)-2), "","")"),328.0)</f>
        <v>328</v>
      </c>
      <c r="E1511" s="7"/>
      <c r="F1511" s="7"/>
      <c r="G1511" s="2" t="str">
        <f t="array" ref="G1511">IF(ISBLANK(D1511), "", INDEX(Categories!$B:$B,MATCH(D1511,Categories!$A:$A,0)))</f>
        <v>Golf Equipment &amp; Supplies</v>
      </c>
      <c r="H1511" s="7" t="str">
        <f t="array" ref="H1511">IF(ISBLANK(E1511), "", INDEX(Categories!$B:$B,MATCH(E1511,Categories!$A:$A,0)))</f>
        <v/>
      </c>
      <c r="I1511" s="7" t="str">
        <f t="array" ref="I1511">IF(ISBLANK(F1511), "", INDEX(Categories!$B:$B,MATCH(F1511,Categories!$A:$A,0)))</f>
        <v/>
      </c>
      <c r="J1511" s="4"/>
      <c r="K1511" s="4"/>
      <c r="L1511" s="4"/>
      <c r="M1511" s="4"/>
      <c r="N1511" s="4"/>
      <c r="O1511" s="4"/>
      <c r="P1511" s="4"/>
      <c r="Q1511" s="4"/>
    </row>
    <row r="1512">
      <c r="A1512" s="5">
        <v>1511.0</v>
      </c>
      <c r="B1512" s="5" t="s">
        <v>1939</v>
      </c>
      <c r="C1512" s="5" t="s">
        <v>200</v>
      </c>
      <c r="D1512" s="6">
        <f>IFERROR(__xludf.DUMMYFUNCTION("SPLIT(MID(C1512,2,LEN(C1512)-2), "","")"),316.0)</f>
        <v>316</v>
      </c>
      <c r="E1512" s="7"/>
      <c r="F1512" s="7"/>
      <c r="G1512" s="2" t="str">
        <f t="array" ref="G1512">IF(ISBLANK(D1512), "", INDEX(Categories!$B:$B,MATCH(D1512,Categories!$A:$A,0)))</f>
        <v>Sporting Goods</v>
      </c>
      <c r="H1512" s="7" t="str">
        <f t="array" ref="H1512">IF(ISBLANK(E1512), "", INDEX(Categories!$B:$B,MATCH(E1512,Categories!$A:$A,0)))</f>
        <v/>
      </c>
      <c r="I1512" s="7" t="str">
        <f t="array" ref="I1512">IF(ISBLANK(F1512), "", INDEX(Categories!$B:$B,MATCH(F1512,Categories!$A:$A,0)))</f>
        <v/>
      </c>
      <c r="J1512" s="4"/>
      <c r="K1512" s="4"/>
      <c r="L1512" s="4"/>
      <c r="M1512" s="4"/>
      <c r="N1512" s="4"/>
      <c r="O1512" s="4"/>
      <c r="P1512" s="4"/>
      <c r="Q1512" s="4"/>
    </row>
    <row r="1513">
      <c r="A1513" s="5">
        <v>1512.0</v>
      </c>
      <c r="B1513" s="5" t="s">
        <v>1940</v>
      </c>
      <c r="C1513" s="5" t="s">
        <v>1480</v>
      </c>
      <c r="D1513" s="6">
        <f>IFERROR(__xludf.DUMMYFUNCTION("SPLIT(MID(C1513,2,LEN(C1513)-2), "","")"),328.0)</f>
        <v>328</v>
      </c>
      <c r="E1513" s="7"/>
      <c r="F1513" s="7"/>
      <c r="G1513" s="2" t="str">
        <f t="array" ref="G1513">IF(ISBLANK(D1513), "", INDEX(Categories!$B:$B,MATCH(D1513,Categories!$A:$A,0)))</f>
        <v>Golf Equipment &amp; Supplies</v>
      </c>
      <c r="H1513" s="7" t="str">
        <f t="array" ref="H1513">IF(ISBLANK(E1513), "", INDEX(Categories!$B:$B,MATCH(E1513,Categories!$A:$A,0)))</f>
        <v/>
      </c>
      <c r="I1513" s="7" t="str">
        <f t="array" ref="I1513">IF(ISBLANK(F1513), "", INDEX(Categories!$B:$B,MATCH(F1513,Categories!$A:$A,0)))</f>
        <v/>
      </c>
      <c r="J1513" s="4"/>
      <c r="K1513" s="4"/>
      <c r="L1513" s="4"/>
      <c r="M1513" s="4"/>
      <c r="N1513" s="4"/>
      <c r="O1513" s="4"/>
      <c r="P1513" s="4"/>
      <c r="Q1513" s="4"/>
    </row>
    <row r="1514">
      <c r="A1514" s="5">
        <v>1513.0</v>
      </c>
      <c r="B1514" s="5" t="s">
        <v>1941</v>
      </c>
      <c r="C1514" s="5" t="s">
        <v>371</v>
      </c>
      <c r="D1514" s="6">
        <f>IFERROR(__xludf.DUMMYFUNCTION("SPLIT(MID(C1514,2,LEN(C1514)-2), "","")"),37.0)</f>
        <v>37</v>
      </c>
      <c r="E1514" s="7"/>
      <c r="F1514" s="7"/>
      <c r="G1514" s="2" t="str">
        <f t="array" ref="G1514">IF(ISBLANK(D1514), "", INDEX(Categories!$B:$B,MATCH(D1514,Categories!$A:$A,0)))</f>
        <v>Home Furnishings</v>
      </c>
      <c r="H1514" s="7" t="str">
        <f t="array" ref="H1514">IF(ISBLANK(E1514), "", INDEX(Categories!$B:$B,MATCH(E1514,Categories!$A:$A,0)))</f>
        <v/>
      </c>
      <c r="I1514" s="7" t="str">
        <f t="array" ref="I1514">IF(ISBLANK(F1514), "", INDEX(Categories!$B:$B,MATCH(F1514,Categories!$A:$A,0)))</f>
        <v/>
      </c>
      <c r="J1514" s="4"/>
      <c r="K1514" s="4"/>
      <c r="L1514" s="4"/>
      <c r="M1514" s="4"/>
      <c r="N1514" s="4"/>
      <c r="O1514" s="4"/>
      <c r="P1514" s="4"/>
      <c r="Q1514" s="4"/>
    </row>
    <row r="1515">
      <c r="A1515" s="5">
        <v>1514.0</v>
      </c>
      <c r="B1515" s="5" t="s">
        <v>1942</v>
      </c>
      <c r="C1515" s="5" t="s">
        <v>303</v>
      </c>
      <c r="D1515" s="6">
        <f>IFERROR(__xludf.DUMMYFUNCTION("SPLIT(MID(C1515,2,LEN(C1515)-2), "","")"),1241.0)</f>
        <v>1241</v>
      </c>
      <c r="E1515" s="7"/>
      <c r="F1515" s="7"/>
      <c r="G1515" s="2" t="str">
        <f t="array" ref="G1515">IF(ISBLANK(D1515), "", INDEX(Categories!$B:$B,MATCH(D1515,Categories!$A:$A,0)))</f>
        <v>Clothing &amp; Accessories</v>
      </c>
      <c r="H1515" s="7" t="str">
        <f t="array" ref="H1515">IF(ISBLANK(E1515), "", INDEX(Categories!$B:$B,MATCH(E1515,Categories!$A:$A,0)))</f>
        <v/>
      </c>
      <c r="I1515" s="7" t="str">
        <f t="array" ref="I1515">IF(ISBLANK(F1515), "", INDEX(Categories!$B:$B,MATCH(F1515,Categories!$A:$A,0)))</f>
        <v/>
      </c>
      <c r="J1515" s="4"/>
      <c r="K1515" s="4"/>
      <c r="L1515" s="4"/>
      <c r="M1515" s="4"/>
      <c r="N1515" s="4"/>
      <c r="O1515" s="4"/>
      <c r="P1515" s="4"/>
      <c r="Q1515" s="4"/>
    </row>
    <row r="1516">
      <c r="A1516" s="5">
        <v>1515.0</v>
      </c>
      <c r="B1516" s="5" t="s">
        <v>1943</v>
      </c>
      <c r="C1516" s="5" t="s">
        <v>1944</v>
      </c>
      <c r="D1516" s="6">
        <f>IFERROR(__xludf.DUMMYFUNCTION("SPLIT(MID(C1516,2,LEN(C1516)-2), "","")"),2651.0)</f>
        <v>2651</v>
      </c>
      <c r="E1516" s="7"/>
      <c r="F1516" s="7"/>
      <c r="G1516" s="2" t="str">
        <f t="array" ref="G1516">IF(ISBLANK(D1516), "", INDEX(Categories!$B:$B,MATCH(D1516,Categories!$A:$A,0)))</f>
        <v>Lamps &amp; Lamp Shades Retail</v>
      </c>
      <c r="H1516" s="7" t="str">
        <f t="array" ref="H1516">IF(ISBLANK(E1516), "", INDEX(Categories!$B:$B,MATCH(E1516,Categories!$A:$A,0)))</f>
        <v/>
      </c>
      <c r="I1516" s="7" t="str">
        <f t="array" ref="I1516">IF(ISBLANK(F1516), "", INDEX(Categories!$B:$B,MATCH(F1516,Categories!$A:$A,0)))</f>
        <v/>
      </c>
      <c r="J1516" s="4"/>
      <c r="K1516" s="4"/>
      <c r="L1516" s="4"/>
      <c r="M1516" s="4"/>
      <c r="N1516" s="4"/>
      <c r="O1516" s="4"/>
      <c r="P1516" s="4"/>
      <c r="Q1516" s="4"/>
    </row>
    <row r="1517">
      <c r="A1517" s="5">
        <v>1516.0</v>
      </c>
      <c r="B1517" s="5" t="s">
        <v>1945</v>
      </c>
      <c r="C1517" s="5" t="s">
        <v>1946</v>
      </c>
      <c r="D1517" s="6">
        <f>IFERROR(__xludf.DUMMYFUNCTION("SPLIT(MID(C1517,2,LEN(C1517)-2), "","")"),23.0)</f>
        <v>23</v>
      </c>
      <c r="E1517" s="7"/>
      <c r="F1517" s="7"/>
      <c r="G1517" s="2" t="str">
        <f t="array" ref="G1517">IF(ISBLANK(D1517), "", INDEX(Categories!$B:$B,MATCH(D1517,Categories!$A:$A,0)))</f>
        <v>Furniture Childrens</v>
      </c>
      <c r="H1517" s="7" t="str">
        <f t="array" ref="H1517">IF(ISBLANK(E1517), "", INDEX(Categories!$B:$B,MATCH(E1517,Categories!$A:$A,0)))</f>
        <v/>
      </c>
      <c r="I1517" s="7" t="str">
        <f t="array" ref="I1517">IF(ISBLANK(F1517), "", INDEX(Categories!$B:$B,MATCH(F1517,Categories!$A:$A,0)))</f>
        <v/>
      </c>
      <c r="J1517" s="4"/>
      <c r="K1517" s="4"/>
      <c r="L1517" s="4"/>
      <c r="M1517" s="4"/>
      <c r="N1517" s="4"/>
      <c r="O1517" s="4"/>
      <c r="P1517" s="4"/>
      <c r="Q1517" s="4"/>
    </row>
    <row r="1518">
      <c r="A1518" s="5">
        <v>1517.0</v>
      </c>
      <c r="B1518" s="5" t="s">
        <v>1947</v>
      </c>
      <c r="C1518" s="5" t="s">
        <v>303</v>
      </c>
      <c r="D1518" s="6">
        <f>IFERROR(__xludf.DUMMYFUNCTION("SPLIT(MID(C1518,2,LEN(C1518)-2), "","")"),1241.0)</f>
        <v>1241</v>
      </c>
      <c r="E1518" s="7"/>
      <c r="F1518" s="7"/>
      <c r="G1518" s="2" t="str">
        <f t="array" ref="G1518">IF(ISBLANK(D1518), "", INDEX(Categories!$B:$B,MATCH(D1518,Categories!$A:$A,0)))</f>
        <v>Clothing &amp; Accessories</v>
      </c>
      <c r="H1518" s="7" t="str">
        <f t="array" ref="H1518">IF(ISBLANK(E1518), "", INDEX(Categories!$B:$B,MATCH(E1518,Categories!$A:$A,0)))</f>
        <v/>
      </c>
      <c r="I1518" s="7" t="str">
        <f t="array" ref="I1518">IF(ISBLANK(F1518), "", INDEX(Categories!$B:$B,MATCH(F1518,Categories!$A:$A,0)))</f>
        <v/>
      </c>
      <c r="J1518" s="4"/>
      <c r="K1518" s="4"/>
      <c r="L1518" s="4"/>
      <c r="M1518" s="4"/>
      <c r="N1518" s="4"/>
      <c r="O1518" s="4"/>
      <c r="P1518" s="4"/>
      <c r="Q1518" s="4"/>
    </row>
    <row r="1519">
      <c r="A1519" s="5">
        <v>1518.0</v>
      </c>
      <c r="B1519" s="5" t="s">
        <v>1948</v>
      </c>
      <c r="C1519" s="5" t="s">
        <v>1949</v>
      </c>
      <c r="D1519" s="6">
        <f>IFERROR(__xludf.DUMMYFUNCTION("SPLIT(MID(C1519,2,LEN(C1519)-2), "","")"),2788.0)</f>
        <v>2788</v>
      </c>
      <c r="E1519" s="7"/>
      <c r="F1519" s="7"/>
      <c r="G1519" s="2" t="str">
        <f t="array" ref="G1519">IF(ISBLANK(D1519), "", INDEX(Categories!$B:$B,MATCH(D1519,Categories!$A:$A,0)))</f>
        <v>Lumber Retail</v>
      </c>
      <c r="H1519" s="7" t="str">
        <f t="array" ref="H1519">IF(ISBLANK(E1519), "", INDEX(Categories!$B:$B,MATCH(E1519,Categories!$A:$A,0)))</f>
        <v/>
      </c>
      <c r="I1519" s="7" t="str">
        <f t="array" ref="I1519">IF(ISBLANK(F1519), "", INDEX(Categories!$B:$B,MATCH(F1519,Categories!$A:$A,0)))</f>
        <v/>
      </c>
      <c r="J1519" s="4"/>
      <c r="K1519" s="4"/>
      <c r="L1519" s="4"/>
      <c r="M1519" s="4"/>
      <c r="N1519" s="4"/>
      <c r="O1519" s="4"/>
      <c r="P1519" s="4"/>
      <c r="Q1519" s="4"/>
    </row>
    <row r="1520">
      <c r="A1520" s="5">
        <v>1519.0</v>
      </c>
      <c r="B1520" s="5" t="s">
        <v>1950</v>
      </c>
      <c r="C1520" s="5" t="s">
        <v>1951</v>
      </c>
      <c r="D1520" s="6">
        <f>IFERROR(__xludf.DUMMYFUNCTION("SPLIT(MID(C1520,2,LEN(C1520)-2), "","")"),1042.0)</f>
        <v>1042</v>
      </c>
      <c r="E1520" s="7"/>
      <c r="F1520" s="7"/>
      <c r="G1520" s="2" t="str">
        <f t="array" ref="G1520">IF(ISBLANK(D1520), "", INDEX(Categories!$B:$B,MATCH(D1520,Categories!$A:$A,0)))</f>
        <v>Hardware Tools &amp; Services</v>
      </c>
      <c r="H1520" s="7" t="str">
        <f t="array" ref="H1520">IF(ISBLANK(E1520), "", INDEX(Categories!$B:$B,MATCH(E1520,Categories!$A:$A,0)))</f>
        <v/>
      </c>
      <c r="I1520" s="7" t="str">
        <f t="array" ref="I1520">IF(ISBLANK(F1520), "", INDEX(Categories!$B:$B,MATCH(F1520,Categories!$A:$A,0)))</f>
        <v/>
      </c>
      <c r="J1520" s="4"/>
      <c r="K1520" s="4"/>
      <c r="L1520" s="4"/>
      <c r="M1520" s="4"/>
      <c r="N1520" s="4"/>
      <c r="O1520" s="4"/>
      <c r="P1520" s="4"/>
      <c r="Q1520" s="4"/>
    </row>
    <row r="1521">
      <c r="A1521" s="5">
        <v>1520.0</v>
      </c>
      <c r="B1521" s="5" t="s">
        <v>1952</v>
      </c>
      <c r="C1521" s="5" t="s">
        <v>139</v>
      </c>
      <c r="D1521" s="6">
        <f>IFERROR(__xludf.DUMMYFUNCTION("SPLIT(MID(C1521,2,LEN(C1521)-2), "","")"),1617.0)</f>
        <v>1617</v>
      </c>
      <c r="E1521" s="7"/>
      <c r="F1521" s="7"/>
      <c r="G1521" s="2" t="str">
        <f t="array" ref="G1521">IF(ISBLANK(D1521), "", INDEX(Categories!$B:$B,MATCH(D1521,Categories!$A:$A,0)))</f>
        <v>Department Stores</v>
      </c>
      <c r="H1521" s="7" t="str">
        <f t="array" ref="H1521">IF(ISBLANK(E1521), "", INDEX(Categories!$B:$B,MATCH(E1521,Categories!$A:$A,0)))</f>
        <v/>
      </c>
      <c r="I1521" s="7" t="str">
        <f t="array" ref="I1521">IF(ISBLANK(F1521), "", INDEX(Categories!$B:$B,MATCH(F1521,Categories!$A:$A,0)))</f>
        <v/>
      </c>
      <c r="J1521" s="4"/>
      <c r="K1521" s="4"/>
      <c r="L1521" s="4"/>
      <c r="M1521" s="4"/>
      <c r="N1521" s="4"/>
      <c r="O1521" s="4"/>
      <c r="P1521" s="4"/>
      <c r="Q1521" s="4"/>
    </row>
    <row r="1522">
      <c r="A1522" s="5">
        <v>1521.0</v>
      </c>
      <c r="B1522" s="5" t="s">
        <v>1953</v>
      </c>
      <c r="C1522" s="5" t="s">
        <v>1954</v>
      </c>
      <c r="D1522" s="6">
        <f>IFERROR(__xludf.DUMMYFUNCTION("SPLIT(MID(C1522,2,LEN(C1522)-2), "","")"),1265.0)</f>
        <v>1265</v>
      </c>
      <c r="E1522" s="7"/>
      <c r="F1522" s="7"/>
      <c r="G1522" s="2" t="str">
        <f t="array" ref="G1522">IF(ISBLANK(D1522), "", INDEX(Categories!$B:$B,MATCH(D1522,Categories!$A:$A,0)))</f>
        <v>Sportswear Retail</v>
      </c>
      <c r="H1522" s="7" t="str">
        <f t="array" ref="H1522">IF(ISBLANK(E1522), "", INDEX(Categories!$B:$B,MATCH(E1522,Categories!$A:$A,0)))</f>
        <v/>
      </c>
      <c r="I1522" s="7" t="str">
        <f t="array" ref="I1522">IF(ISBLANK(F1522), "", INDEX(Categories!$B:$B,MATCH(F1522,Categories!$A:$A,0)))</f>
        <v/>
      </c>
      <c r="J1522" s="4"/>
      <c r="K1522" s="4"/>
      <c r="L1522" s="4"/>
      <c r="M1522" s="4"/>
      <c r="N1522" s="4"/>
      <c r="O1522" s="4"/>
      <c r="P1522" s="4"/>
      <c r="Q1522" s="4"/>
    </row>
    <row r="1523">
      <c r="A1523" s="5">
        <v>1522.0</v>
      </c>
      <c r="B1523" s="5" t="s">
        <v>1955</v>
      </c>
      <c r="C1523" s="5" t="s">
        <v>274</v>
      </c>
      <c r="D1523" s="6">
        <f>IFERROR(__xludf.DUMMYFUNCTION("SPLIT(MID(C1523,2,LEN(C1523)-2), "","")"),619.0)</f>
        <v>619</v>
      </c>
      <c r="E1523" s="7"/>
      <c r="F1523" s="7"/>
      <c r="G1523" s="2" t="str">
        <f t="array" ref="G1523">IF(ISBLANK(D1523), "", INDEX(Categories!$B:$B,MATCH(D1523,Categories!$A:$A,0)))</f>
        <v>Jewelry</v>
      </c>
      <c r="H1523" s="7" t="str">
        <f t="array" ref="H1523">IF(ISBLANK(E1523), "", INDEX(Categories!$B:$B,MATCH(E1523,Categories!$A:$A,0)))</f>
        <v/>
      </c>
      <c r="I1523" s="7" t="str">
        <f t="array" ref="I1523">IF(ISBLANK(F1523), "", INDEX(Categories!$B:$B,MATCH(F1523,Categories!$A:$A,0)))</f>
        <v/>
      </c>
      <c r="J1523" s="4"/>
      <c r="K1523" s="4"/>
      <c r="L1523" s="4"/>
      <c r="M1523" s="4"/>
      <c r="N1523" s="4"/>
      <c r="O1523" s="4"/>
      <c r="P1523" s="4"/>
      <c r="Q1523" s="4"/>
    </row>
    <row r="1524">
      <c r="A1524" s="5">
        <v>1523.0</v>
      </c>
      <c r="B1524" s="5" t="s">
        <v>1956</v>
      </c>
      <c r="C1524" s="5" t="s">
        <v>371</v>
      </c>
      <c r="D1524" s="6">
        <f>IFERROR(__xludf.DUMMYFUNCTION("SPLIT(MID(C1524,2,LEN(C1524)-2), "","")"),37.0)</f>
        <v>37</v>
      </c>
      <c r="E1524" s="7"/>
      <c r="F1524" s="7"/>
      <c r="G1524" s="2" t="str">
        <f t="array" ref="G1524">IF(ISBLANK(D1524), "", INDEX(Categories!$B:$B,MATCH(D1524,Categories!$A:$A,0)))</f>
        <v>Home Furnishings</v>
      </c>
      <c r="H1524" s="7" t="str">
        <f t="array" ref="H1524">IF(ISBLANK(E1524), "", INDEX(Categories!$B:$B,MATCH(E1524,Categories!$A:$A,0)))</f>
        <v/>
      </c>
      <c r="I1524" s="7" t="str">
        <f t="array" ref="I1524">IF(ISBLANK(F1524), "", INDEX(Categories!$B:$B,MATCH(F1524,Categories!$A:$A,0)))</f>
        <v/>
      </c>
      <c r="J1524" s="4"/>
      <c r="K1524" s="4"/>
      <c r="L1524" s="4"/>
      <c r="M1524" s="4"/>
      <c r="N1524" s="4"/>
      <c r="O1524" s="4"/>
      <c r="P1524" s="4"/>
      <c r="Q1524" s="4"/>
    </row>
    <row r="1525">
      <c r="A1525" s="5">
        <v>1524.0</v>
      </c>
      <c r="B1525" s="5" t="s">
        <v>1957</v>
      </c>
      <c r="C1525" s="5" t="s">
        <v>200</v>
      </c>
      <c r="D1525" s="6">
        <f>IFERROR(__xludf.DUMMYFUNCTION("SPLIT(MID(C1525,2,LEN(C1525)-2), "","")"),316.0)</f>
        <v>316</v>
      </c>
      <c r="E1525" s="7"/>
      <c r="F1525" s="7"/>
      <c r="G1525" s="2" t="str">
        <f t="array" ref="G1525">IF(ISBLANK(D1525), "", INDEX(Categories!$B:$B,MATCH(D1525,Categories!$A:$A,0)))</f>
        <v>Sporting Goods</v>
      </c>
      <c r="H1525" s="7" t="str">
        <f t="array" ref="H1525">IF(ISBLANK(E1525), "", INDEX(Categories!$B:$B,MATCH(E1525,Categories!$A:$A,0)))</f>
        <v/>
      </c>
      <c r="I1525" s="7" t="str">
        <f t="array" ref="I1525">IF(ISBLANK(F1525), "", INDEX(Categories!$B:$B,MATCH(F1525,Categories!$A:$A,0)))</f>
        <v/>
      </c>
      <c r="J1525" s="4"/>
      <c r="K1525" s="4"/>
      <c r="L1525" s="4"/>
      <c r="M1525" s="4"/>
      <c r="N1525" s="4"/>
      <c r="O1525" s="4"/>
      <c r="P1525" s="4"/>
      <c r="Q1525" s="4"/>
    </row>
    <row r="1526">
      <c r="A1526" s="5">
        <v>1525.0</v>
      </c>
      <c r="B1526" s="5" t="s">
        <v>1958</v>
      </c>
      <c r="C1526" s="5" t="s">
        <v>1959</v>
      </c>
      <c r="D1526" s="6">
        <f>IFERROR(__xludf.DUMMYFUNCTION("SPLIT(MID(C1526,2,LEN(C1526)-2), "","")"),2229.0)</f>
        <v>2229</v>
      </c>
      <c r="E1526" s="7"/>
      <c r="F1526" s="7"/>
      <c r="G1526" s="2" t="str">
        <f t="array" ref="G1526">IF(ISBLANK(D1526), "", INDEX(Categories!$B:$B,MATCH(D1526,Categories!$A:$A,0)))</f>
        <v>Woodworking Equipment &amp; Supplies</v>
      </c>
      <c r="H1526" s="7" t="str">
        <f t="array" ref="H1526">IF(ISBLANK(E1526), "", INDEX(Categories!$B:$B,MATCH(E1526,Categories!$A:$A,0)))</f>
        <v/>
      </c>
      <c r="I1526" s="7" t="str">
        <f t="array" ref="I1526">IF(ISBLANK(F1526), "", INDEX(Categories!$B:$B,MATCH(F1526,Categories!$A:$A,0)))</f>
        <v/>
      </c>
      <c r="J1526" s="4"/>
      <c r="K1526" s="4"/>
      <c r="L1526" s="4"/>
      <c r="M1526" s="4"/>
      <c r="N1526" s="4"/>
      <c r="O1526" s="4"/>
      <c r="P1526" s="4"/>
      <c r="Q1526" s="4"/>
    </row>
    <row r="1527">
      <c r="A1527" s="5">
        <v>1526.0</v>
      </c>
      <c r="B1527" s="5" t="s">
        <v>1960</v>
      </c>
      <c r="C1527" s="5" t="s">
        <v>1961</v>
      </c>
      <c r="D1527" s="6">
        <f>IFERROR(__xludf.DUMMYFUNCTION("SPLIT(MID(C1527,2,LEN(C1527)-2), "","")"),874.0)</f>
        <v>874</v>
      </c>
      <c r="E1527" s="7"/>
      <c r="F1527" s="7"/>
      <c r="G1527" s="2" t="str">
        <f t="array" ref="G1527">IF(ISBLANK(D1527), "", INDEX(Categories!$B:$B,MATCH(D1527,Categories!$A:$A,0)))</f>
        <v>Musical Instruments</v>
      </c>
      <c r="H1527" s="7" t="str">
        <f t="array" ref="H1527">IF(ISBLANK(E1527), "", INDEX(Categories!$B:$B,MATCH(E1527,Categories!$A:$A,0)))</f>
        <v/>
      </c>
      <c r="I1527" s="7" t="str">
        <f t="array" ref="I1527">IF(ISBLANK(F1527), "", INDEX(Categories!$B:$B,MATCH(F1527,Categories!$A:$A,0)))</f>
        <v/>
      </c>
      <c r="J1527" s="4"/>
      <c r="K1527" s="4"/>
      <c r="L1527" s="4"/>
      <c r="M1527" s="4"/>
      <c r="N1527" s="4"/>
      <c r="O1527" s="4"/>
      <c r="P1527" s="4"/>
      <c r="Q1527" s="4"/>
    </row>
    <row r="1528">
      <c r="A1528" s="5">
        <v>1527.0</v>
      </c>
      <c r="B1528" s="5" t="s">
        <v>1962</v>
      </c>
      <c r="C1528" s="5" t="s">
        <v>200</v>
      </c>
      <c r="D1528" s="6">
        <f>IFERROR(__xludf.DUMMYFUNCTION("SPLIT(MID(C1528,2,LEN(C1528)-2), "","")"),316.0)</f>
        <v>316</v>
      </c>
      <c r="E1528" s="7"/>
      <c r="F1528" s="7"/>
      <c r="G1528" s="2" t="str">
        <f t="array" ref="G1528">IF(ISBLANK(D1528), "", INDEX(Categories!$B:$B,MATCH(D1528,Categories!$A:$A,0)))</f>
        <v>Sporting Goods</v>
      </c>
      <c r="H1528" s="7" t="str">
        <f t="array" ref="H1528">IF(ISBLANK(E1528), "", INDEX(Categories!$B:$B,MATCH(E1528,Categories!$A:$A,0)))</f>
        <v/>
      </c>
      <c r="I1528" s="7" t="str">
        <f t="array" ref="I1528">IF(ISBLANK(F1528), "", INDEX(Categories!$B:$B,MATCH(F1528,Categories!$A:$A,0)))</f>
        <v/>
      </c>
      <c r="J1528" s="4"/>
      <c r="K1528" s="4"/>
      <c r="L1528" s="4"/>
      <c r="M1528" s="4"/>
      <c r="N1528" s="4"/>
      <c r="O1528" s="4"/>
      <c r="P1528" s="4"/>
      <c r="Q1528" s="4"/>
    </row>
    <row r="1529">
      <c r="A1529" s="5">
        <v>1528.0</v>
      </c>
      <c r="B1529" s="5" t="s">
        <v>1963</v>
      </c>
      <c r="C1529" s="5" t="s">
        <v>109</v>
      </c>
      <c r="D1529" s="6">
        <f>IFERROR(__xludf.DUMMYFUNCTION("SPLIT(MID(C1529,2,LEN(C1529)-2), "","")"),741.0)</f>
        <v>741</v>
      </c>
      <c r="E1529" s="7"/>
      <c r="F1529" s="7"/>
      <c r="G1529" s="2" t="str">
        <f t="array" ref="G1529">IF(ISBLANK(D1529), "", INDEX(Categories!$B:$B,MATCH(D1529,Categories!$A:$A,0)))</f>
        <v>Shoes</v>
      </c>
      <c r="H1529" s="7" t="str">
        <f t="array" ref="H1529">IF(ISBLANK(E1529), "", INDEX(Categories!$B:$B,MATCH(E1529,Categories!$A:$A,0)))</f>
        <v/>
      </c>
      <c r="I1529" s="7" t="str">
        <f t="array" ref="I1529">IF(ISBLANK(F1529), "", INDEX(Categories!$B:$B,MATCH(F1529,Categories!$A:$A,0)))</f>
        <v/>
      </c>
      <c r="J1529" s="4"/>
      <c r="K1529" s="4"/>
      <c r="L1529" s="4"/>
      <c r="M1529" s="4"/>
      <c r="N1529" s="4"/>
      <c r="O1529" s="4"/>
      <c r="P1529" s="4"/>
      <c r="Q1529" s="4"/>
    </row>
    <row r="1530">
      <c r="A1530" s="5">
        <v>1529.0</v>
      </c>
      <c r="B1530" s="5" t="s">
        <v>1964</v>
      </c>
      <c r="C1530" s="5" t="s">
        <v>1081</v>
      </c>
      <c r="D1530" s="6">
        <f>IFERROR(__xludf.DUMMYFUNCTION("SPLIT(MID(C1530,2,LEN(C1530)-2), "","")"),18.0)</f>
        <v>18</v>
      </c>
      <c r="E1530" s="7"/>
      <c r="F1530" s="7"/>
      <c r="G1530" s="2" t="str">
        <f t="array" ref="G1530">IF(ISBLANK(D1530), "", INDEX(Categories!$B:$B,MATCH(D1530,Categories!$A:$A,0)))</f>
        <v>Furniture</v>
      </c>
      <c r="H1530" s="7" t="str">
        <f t="array" ref="H1530">IF(ISBLANK(E1530), "", INDEX(Categories!$B:$B,MATCH(E1530,Categories!$A:$A,0)))</f>
        <v/>
      </c>
      <c r="I1530" s="7" t="str">
        <f t="array" ref="I1530">IF(ISBLANK(F1530), "", INDEX(Categories!$B:$B,MATCH(F1530,Categories!$A:$A,0)))</f>
        <v/>
      </c>
      <c r="J1530" s="4"/>
      <c r="K1530" s="4"/>
      <c r="L1530" s="4"/>
      <c r="M1530" s="4"/>
      <c r="N1530" s="4"/>
      <c r="O1530" s="4"/>
      <c r="P1530" s="4"/>
      <c r="Q1530" s="4"/>
    </row>
    <row r="1531">
      <c r="A1531" s="5">
        <v>1530.0</v>
      </c>
      <c r="B1531" s="5" t="s">
        <v>1965</v>
      </c>
      <c r="C1531" s="5" t="s">
        <v>1966</v>
      </c>
      <c r="D1531" s="6">
        <f>IFERROR(__xludf.DUMMYFUNCTION("SPLIT(MID(C1531,2,LEN(C1531)-2), "","")"),1704.0)</f>
        <v>1704</v>
      </c>
      <c r="E1531" s="7"/>
      <c r="F1531" s="7"/>
      <c r="G1531" s="2" t="str">
        <f t="array" ref="G1531">IF(ISBLANK(D1531), "", INDEX(Categories!$B:$B,MATCH(D1531,Categories!$A:$A,0)))</f>
        <v>Kitchen Accessories</v>
      </c>
      <c r="H1531" s="7" t="str">
        <f t="array" ref="H1531">IF(ISBLANK(E1531), "", INDEX(Categories!$B:$B,MATCH(E1531,Categories!$A:$A,0)))</f>
        <v/>
      </c>
      <c r="I1531" s="7" t="str">
        <f t="array" ref="I1531">IF(ISBLANK(F1531), "", INDEX(Categories!$B:$B,MATCH(F1531,Categories!$A:$A,0)))</f>
        <v/>
      </c>
      <c r="J1531" s="4"/>
      <c r="K1531" s="4"/>
      <c r="L1531" s="4"/>
      <c r="M1531" s="4"/>
      <c r="N1531" s="4"/>
      <c r="O1531" s="4"/>
      <c r="P1531" s="4"/>
      <c r="Q1531" s="4"/>
    </row>
    <row r="1532">
      <c r="A1532" s="5">
        <v>1531.0</v>
      </c>
      <c r="B1532" s="5" t="s">
        <v>1967</v>
      </c>
      <c r="C1532" s="5" t="s">
        <v>1968</v>
      </c>
      <c r="D1532" s="6">
        <f>IFERROR(__xludf.DUMMYFUNCTION("SPLIT(MID(C1532,2,LEN(C1532)-2), "","")"),611.0)</f>
        <v>611</v>
      </c>
      <c r="E1532" s="7"/>
      <c r="F1532" s="7"/>
      <c r="G1532" s="2" t="str">
        <f t="array" ref="G1532">IF(ISBLANK(D1532), "", INDEX(Categories!$B:$B,MATCH(D1532,Categories!$A:$A,0)))</f>
        <v>Vitamins &amp; Food Supplements</v>
      </c>
      <c r="H1532" s="7" t="str">
        <f t="array" ref="H1532">IF(ISBLANK(E1532), "", INDEX(Categories!$B:$B,MATCH(E1532,Categories!$A:$A,0)))</f>
        <v/>
      </c>
      <c r="I1532" s="7" t="str">
        <f t="array" ref="I1532">IF(ISBLANK(F1532), "", INDEX(Categories!$B:$B,MATCH(F1532,Categories!$A:$A,0)))</f>
        <v/>
      </c>
      <c r="J1532" s="4"/>
      <c r="K1532" s="4"/>
      <c r="L1532" s="4"/>
      <c r="M1532" s="4"/>
      <c r="N1532" s="4"/>
      <c r="O1532" s="4"/>
      <c r="P1532" s="4"/>
      <c r="Q1532" s="4"/>
    </row>
    <row r="1533">
      <c r="A1533" s="5">
        <v>1532.0</v>
      </c>
      <c r="B1533" s="5" t="s">
        <v>1969</v>
      </c>
      <c r="C1533" s="5" t="s">
        <v>212</v>
      </c>
      <c r="D1533" s="6">
        <f>IFERROR(__xludf.DUMMYFUNCTION("SPLIT(MID(C1533,2,LEN(C1533)-2), "","")"),446.0)</f>
        <v>446</v>
      </c>
      <c r="E1533" s="7"/>
      <c r="F1533" s="7"/>
      <c r="G1533" s="2" t="str">
        <f t="array" ref="G1533">IF(ISBLANK(D1533), "", INDEX(Categories!$B:$B,MATCH(D1533,Categories!$A:$A,0)))</f>
        <v>Beauty Salons</v>
      </c>
      <c r="H1533" s="7" t="str">
        <f t="array" ref="H1533">IF(ISBLANK(E1533), "", INDEX(Categories!$B:$B,MATCH(E1533,Categories!$A:$A,0)))</f>
        <v/>
      </c>
      <c r="I1533" s="7" t="str">
        <f t="array" ref="I1533">IF(ISBLANK(F1533), "", INDEX(Categories!$B:$B,MATCH(F1533,Categories!$A:$A,0)))</f>
        <v/>
      </c>
      <c r="J1533" s="4"/>
      <c r="K1533" s="4"/>
      <c r="L1533" s="4"/>
      <c r="M1533" s="4"/>
      <c r="N1533" s="4"/>
      <c r="O1533" s="4"/>
      <c r="P1533" s="4"/>
      <c r="Q1533" s="4"/>
    </row>
    <row r="1534">
      <c r="A1534" s="5">
        <v>1533.0</v>
      </c>
      <c r="B1534" s="5" t="s">
        <v>1970</v>
      </c>
      <c r="C1534" s="5" t="s">
        <v>371</v>
      </c>
      <c r="D1534" s="6">
        <f>IFERROR(__xludf.DUMMYFUNCTION("SPLIT(MID(C1534,2,LEN(C1534)-2), "","")"),37.0)</f>
        <v>37</v>
      </c>
      <c r="E1534" s="7"/>
      <c r="F1534" s="7"/>
      <c r="G1534" s="2" t="str">
        <f t="array" ref="G1534">IF(ISBLANK(D1534), "", INDEX(Categories!$B:$B,MATCH(D1534,Categories!$A:$A,0)))</f>
        <v>Home Furnishings</v>
      </c>
      <c r="H1534" s="7" t="str">
        <f t="array" ref="H1534">IF(ISBLANK(E1534), "", INDEX(Categories!$B:$B,MATCH(E1534,Categories!$A:$A,0)))</f>
        <v/>
      </c>
      <c r="I1534" s="7" t="str">
        <f t="array" ref="I1534">IF(ISBLANK(F1534), "", INDEX(Categories!$B:$B,MATCH(F1534,Categories!$A:$A,0)))</f>
        <v/>
      </c>
      <c r="J1534" s="4"/>
      <c r="K1534" s="4"/>
      <c r="L1534" s="4"/>
      <c r="M1534" s="4"/>
      <c r="N1534" s="4"/>
      <c r="O1534" s="4"/>
      <c r="P1534" s="4"/>
      <c r="Q1534" s="4"/>
    </row>
    <row r="1535">
      <c r="A1535" s="5">
        <v>1534.0</v>
      </c>
      <c r="B1535" s="5" t="s">
        <v>1971</v>
      </c>
      <c r="C1535" s="5" t="s">
        <v>473</v>
      </c>
      <c r="D1535" s="6">
        <f>IFERROR(__xludf.DUMMYFUNCTION("SPLIT(MID(C1535,2,LEN(C1535)-2), "","")"),1965.0)</f>
        <v>1965</v>
      </c>
      <c r="E1535" s="7"/>
      <c r="F1535" s="7"/>
      <c r="G1535" s="2" t="str">
        <f t="array" ref="G1535">IF(ISBLANK(D1535), "", INDEX(Categories!$B:$B,MATCH(D1535,Categories!$A:$A,0)))</f>
        <v>Electronics - Dealers</v>
      </c>
      <c r="H1535" s="7" t="str">
        <f t="array" ref="H1535">IF(ISBLANK(E1535), "", INDEX(Categories!$B:$B,MATCH(E1535,Categories!$A:$A,0)))</f>
        <v/>
      </c>
      <c r="I1535" s="7" t="str">
        <f t="array" ref="I1535">IF(ISBLANK(F1535), "", INDEX(Categories!$B:$B,MATCH(F1535,Categories!$A:$A,0)))</f>
        <v/>
      </c>
      <c r="J1535" s="4"/>
      <c r="K1535" s="4"/>
      <c r="L1535" s="4"/>
      <c r="M1535" s="4"/>
      <c r="N1535" s="4"/>
      <c r="O1535" s="4"/>
      <c r="P1535" s="4"/>
      <c r="Q1535" s="4"/>
    </row>
    <row r="1536">
      <c r="A1536" s="5">
        <v>1535.0</v>
      </c>
      <c r="B1536" s="5" t="s">
        <v>1972</v>
      </c>
      <c r="C1536" s="5" t="s">
        <v>1954</v>
      </c>
      <c r="D1536" s="6">
        <f>IFERROR(__xludf.DUMMYFUNCTION("SPLIT(MID(C1536,2,LEN(C1536)-2), "","")"),1265.0)</f>
        <v>1265</v>
      </c>
      <c r="E1536" s="7"/>
      <c r="F1536" s="7"/>
      <c r="G1536" s="2" t="str">
        <f t="array" ref="G1536">IF(ISBLANK(D1536), "", INDEX(Categories!$B:$B,MATCH(D1536,Categories!$A:$A,0)))</f>
        <v>Sportswear Retail</v>
      </c>
      <c r="H1536" s="7" t="str">
        <f t="array" ref="H1536">IF(ISBLANK(E1536), "", INDEX(Categories!$B:$B,MATCH(E1536,Categories!$A:$A,0)))</f>
        <v/>
      </c>
      <c r="I1536" s="7" t="str">
        <f t="array" ref="I1536">IF(ISBLANK(F1536), "", INDEX(Categories!$B:$B,MATCH(F1536,Categories!$A:$A,0)))</f>
        <v/>
      </c>
      <c r="J1536" s="4"/>
      <c r="K1536" s="4"/>
      <c r="L1536" s="4"/>
      <c r="M1536" s="4"/>
      <c r="N1536" s="4"/>
      <c r="O1536" s="4"/>
      <c r="P1536" s="4"/>
      <c r="Q1536" s="4"/>
    </row>
    <row r="1537">
      <c r="A1537" s="5">
        <v>1536.0</v>
      </c>
      <c r="B1537" s="5" t="s">
        <v>1973</v>
      </c>
      <c r="C1537" s="5" t="s">
        <v>303</v>
      </c>
      <c r="D1537" s="6">
        <f>IFERROR(__xludf.DUMMYFUNCTION("SPLIT(MID(C1537,2,LEN(C1537)-2), "","")"),1241.0)</f>
        <v>1241</v>
      </c>
      <c r="E1537" s="7"/>
      <c r="F1537" s="7"/>
      <c r="G1537" s="2" t="str">
        <f t="array" ref="G1537">IF(ISBLANK(D1537), "", INDEX(Categories!$B:$B,MATCH(D1537,Categories!$A:$A,0)))</f>
        <v>Clothing &amp; Accessories</v>
      </c>
      <c r="H1537" s="7" t="str">
        <f t="array" ref="H1537">IF(ISBLANK(E1537), "", INDEX(Categories!$B:$B,MATCH(E1537,Categories!$A:$A,0)))</f>
        <v/>
      </c>
      <c r="I1537" s="7" t="str">
        <f t="array" ref="I1537">IF(ISBLANK(F1537), "", INDEX(Categories!$B:$B,MATCH(F1537,Categories!$A:$A,0)))</f>
        <v/>
      </c>
      <c r="J1537" s="4"/>
      <c r="K1537" s="4"/>
      <c r="L1537" s="4"/>
      <c r="M1537" s="4"/>
      <c r="N1537" s="4"/>
      <c r="O1537" s="4"/>
      <c r="P1537" s="4"/>
      <c r="Q1537" s="4"/>
    </row>
    <row r="1538">
      <c r="A1538" s="5">
        <v>1537.0</v>
      </c>
      <c r="B1538" s="5" t="s">
        <v>1974</v>
      </c>
      <c r="C1538" s="5" t="s">
        <v>1975</v>
      </c>
      <c r="D1538" s="6">
        <f>IFERROR(__xludf.DUMMYFUNCTION("SPLIT(MID(C1538,2,LEN(C1538)-2), "","")"),740.0)</f>
        <v>740</v>
      </c>
      <c r="E1538" s="7"/>
      <c r="F1538" s="7"/>
      <c r="G1538" s="2" t="str">
        <f t="array" ref="G1538">IF(ISBLANK(D1538), "", INDEX(Categories!$B:$B,MATCH(D1538,Categories!$A:$A,0)))</f>
        <v>Boots</v>
      </c>
      <c r="H1538" s="7" t="str">
        <f t="array" ref="H1538">IF(ISBLANK(E1538), "", INDEX(Categories!$B:$B,MATCH(E1538,Categories!$A:$A,0)))</f>
        <v/>
      </c>
      <c r="I1538" s="7" t="str">
        <f t="array" ref="I1538">IF(ISBLANK(F1538), "", INDEX(Categories!$B:$B,MATCH(F1538,Categories!$A:$A,0)))</f>
        <v/>
      </c>
      <c r="J1538" s="4"/>
      <c r="K1538" s="4"/>
      <c r="L1538" s="4"/>
      <c r="M1538" s="4"/>
      <c r="N1538" s="4"/>
      <c r="O1538" s="4"/>
      <c r="P1538" s="4"/>
      <c r="Q1538" s="4"/>
    </row>
    <row r="1539">
      <c r="A1539" s="5">
        <v>1538.0</v>
      </c>
      <c r="B1539" s="5" t="s">
        <v>1976</v>
      </c>
      <c r="C1539" s="5" t="s">
        <v>473</v>
      </c>
      <c r="D1539" s="6">
        <f>IFERROR(__xludf.DUMMYFUNCTION("SPLIT(MID(C1539,2,LEN(C1539)-2), "","")"),1965.0)</f>
        <v>1965</v>
      </c>
      <c r="E1539" s="7"/>
      <c r="F1539" s="7"/>
      <c r="G1539" s="2" t="str">
        <f t="array" ref="G1539">IF(ISBLANK(D1539), "", INDEX(Categories!$B:$B,MATCH(D1539,Categories!$A:$A,0)))</f>
        <v>Electronics - Dealers</v>
      </c>
      <c r="H1539" s="7" t="str">
        <f t="array" ref="H1539">IF(ISBLANK(E1539), "", INDEX(Categories!$B:$B,MATCH(E1539,Categories!$A:$A,0)))</f>
        <v/>
      </c>
      <c r="I1539" s="7" t="str">
        <f t="array" ref="I1539">IF(ISBLANK(F1539), "", INDEX(Categories!$B:$B,MATCH(F1539,Categories!$A:$A,0)))</f>
        <v/>
      </c>
      <c r="J1539" s="4"/>
      <c r="K1539" s="4"/>
      <c r="L1539" s="4"/>
      <c r="M1539" s="4"/>
      <c r="N1539" s="4"/>
      <c r="O1539" s="4"/>
      <c r="P1539" s="4"/>
      <c r="Q1539" s="4"/>
    </row>
    <row r="1540">
      <c r="A1540" s="5">
        <v>1539.0</v>
      </c>
      <c r="B1540" s="5" t="s">
        <v>1977</v>
      </c>
      <c r="C1540" s="5" t="s">
        <v>200</v>
      </c>
      <c r="D1540" s="6">
        <f>IFERROR(__xludf.DUMMYFUNCTION("SPLIT(MID(C1540,2,LEN(C1540)-2), "","")"),316.0)</f>
        <v>316</v>
      </c>
      <c r="E1540" s="7"/>
      <c r="F1540" s="7"/>
      <c r="G1540" s="2" t="str">
        <f t="array" ref="G1540">IF(ISBLANK(D1540), "", INDEX(Categories!$B:$B,MATCH(D1540,Categories!$A:$A,0)))</f>
        <v>Sporting Goods</v>
      </c>
      <c r="H1540" s="7" t="str">
        <f t="array" ref="H1540">IF(ISBLANK(E1540), "", INDEX(Categories!$B:$B,MATCH(E1540,Categories!$A:$A,0)))</f>
        <v/>
      </c>
      <c r="I1540" s="7" t="str">
        <f t="array" ref="I1540">IF(ISBLANK(F1540), "", INDEX(Categories!$B:$B,MATCH(F1540,Categories!$A:$A,0)))</f>
        <v/>
      </c>
      <c r="J1540" s="4"/>
      <c r="K1540" s="4"/>
      <c r="L1540" s="4"/>
      <c r="M1540" s="4"/>
      <c r="N1540" s="4"/>
      <c r="O1540" s="4"/>
      <c r="P1540" s="4"/>
      <c r="Q1540" s="4"/>
    </row>
    <row r="1541">
      <c r="A1541" s="5">
        <v>1540.0</v>
      </c>
      <c r="B1541" s="5" t="s">
        <v>1978</v>
      </c>
      <c r="C1541" s="5" t="s">
        <v>1081</v>
      </c>
      <c r="D1541" s="6">
        <f>IFERROR(__xludf.DUMMYFUNCTION("SPLIT(MID(C1541,2,LEN(C1541)-2), "","")"),18.0)</f>
        <v>18</v>
      </c>
      <c r="E1541" s="7"/>
      <c r="F1541" s="7"/>
      <c r="G1541" s="2" t="str">
        <f t="array" ref="G1541">IF(ISBLANK(D1541), "", INDEX(Categories!$B:$B,MATCH(D1541,Categories!$A:$A,0)))</f>
        <v>Furniture</v>
      </c>
      <c r="H1541" s="7" t="str">
        <f t="array" ref="H1541">IF(ISBLANK(E1541), "", INDEX(Categories!$B:$B,MATCH(E1541,Categories!$A:$A,0)))</f>
        <v/>
      </c>
      <c r="I1541" s="7" t="str">
        <f t="array" ref="I1541">IF(ISBLANK(F1541), "", INDEX(Categories!$B:$B,MATCH(F1541,Categories!$A:$A,0)))</f>
        <v/>
      </c>
      <c r="J1541" s="4"/>
      <c r="K1541" s="4"/>
      <c r="L1541" s="4"/>
      <c r="M1541" s="4"/>
      <c r="N1541" s="4"/>
      <c r="O1541" s="4"/>
      <c r="P1541" s="4"/>
      <c r="Q1541" s="4"/>
    </row>
    <row r="1542">
      <c r="A1542" s="5">
        <v>1541.0</v>
      </c>
      <c r="B1542" s="5" t="s">
        <v>1979</v>
      </c>
      <c r="C1542" s="5" t="s">
        <v>1980</v>
      </c>
      <c r="D1542" s="6">
        <f>IFERROR(__xludf.DUMMYFUNCTION("SPLIT(MID(C1542,2,LEN(C1542)-2), "","")"),2092.0)</f>
        <v>2092</v>
      </c>
      <c r="E1542" s="7"/>
      <c r="F1542" s="7"/>
      <c r="G1542" s="2" t="str">
        <f t="array" ref="G1542">IF(ISBLANK(D1542), "", INDEX(Categories!$B:$B,MATCH(D1542,Categories!$A:$A,0)))</f>
        <v>Mattresses &amp; Bedding</v>
      </c>
      <c r="H1542" s="7" t="str">
        <f t="array" ref="H1542">IF(ISBLANK(E1542), "", INDEX(Categories!$B:$B,MATCH(E1542,Categories!$A:$A,0)))</f>
        <v/>
      </c>
      <c r="I1542" s="7" t="str">
        <f t="array" ref="I1542">IF(ISBLANK(F1542), "", INDEX(Categories!$B:$B,MATCH(F1542,Categories!$A:$A,0)))</f>
        <v/>
      </c>
      <c r="J1542" s="4"/>
      <c r="K1542" s="4"/>
      <c r="L1542" s="4"/>
      <c r="M1542" s="4"/>
      <c r="N1542" s="4"/>
      <c r="O1542" s="4"/>
      <c r="P1542" s="4"/>
      <c r="Q1542" s="4"/>
    </row>
    <row r="1543">
      <c r="A1543" s="5">
        <v>1542.0</v>
      </c>
      <c r="B1543" s="5" t="s">
        <v>1981</v>
      </c>
      <c r="C1543" s="5" t="s">
        <v>200</v>
      </c>
      <c r="D1543" s="6">
        <f>IFERROR(__xludf.DUMMYFUNCTION("SPLIT(MID(C1543,2,LEN(C1543)-2), "","")"),316.0)</f>
        <v>316</v>
      </c>
      <c r="E1543" s="7"/>
      <c r="F1543" s="7"/>
      <c r="G1543" s="2" t="str">
        <f t="array" ref="G1543">IF(ISBLANK(D1543), "", INDEX(Categories!$B:$B,MATCH(D1543,Categories!$A:$A,0)))</f>
        <v>Sporting Goods</v>
      </c>
      <c r="H1543" s="7" t="str">
        <f t="array" ref="H1543">IF(ISBLANK(E1543), "", INDEX(Categories!$B:$B,MATCH(E1543,Categories!$A:$A,0)))</f>
        <v/>
      </c>
      <c r="I1543" s="7" t="str">
        <f t="array" ref="I1543">IF(ISBLANK(F1543), "", INDEX(Categories!$B:$B,MATCH(F1543,Categories!$A:$A,0)))</f>
        <v/>
      </c>
      <c r="J1543" s="4"/>
      <c r="K1543" s="4"/>
      <c r="L1543" s="4"/>
      <c r="M1543" s="4"/>
      <c r="N1543" s="4"/>
      <c r="O1543" s="4"/>
      <c r="P1543" s="4"/>
      <c r="Q1543" s="4"/>
    </row>
    <row r="1544">
      <c r="A1544" s="5">
        <v>1543.0</v>
      </c>
      <c r="B1544" s="5" t="s">
        <v>1982</v>
      </c>
      <c r="C1544" s="5" t="s">
        <v>303</v>
      </c>
      <c r="D1544" s="6">
        <f>IFERROR(__xludf.DUMMYFUNCTION("SPLIT(MID(C1544,2,LEN(C1544)-2), "","")"),1241.0)</f>
        <v>1241</v>
      </c>
      <c r="E1544" s="7"/>
      <c r="F1544" s="7"/>
      <c r="G1544" s="2" t="str">
        <f t="array" ref="G1544">IF(ISBLANK(D1544), "", INDEX(Categories!$B:$B,MATCH(D1544,Categories!$A:$A,0)))</f>
        <v>Clothing &amp; Accessories</v>
      </c>
      <c r="H1544" s="7" t="str">
        <f t="array" ref="H1544">IF(ISBLANK(E1544), "", INDEX(Categories!$B:$B,MATCH(E1544,Categories!$A:$A,0)))</f>
        <v/>
      </c>
      <c r="I1544" s="7" t="str">
        <f t="array" ref="I1544">IF(ISBLANK(F1544), "", INDEX(Categories!$B:$B,MATCH(F1544,Categories!$A:$A,0)))</f>
        <v/>
      </c>
      <c r="J1544" s="4"/>
      <c r="K1544" s="4"/>
      <c r="L1544" s="4"/>
      <c r="M1544" s="4"/>
      <c r="N1544" s="4"/>
      <c r="O1544" s="4"/>
      <c r="P1544" s="4"/>
      <c r="Q1544" s="4"/>
    </row>
    <row r="1545">
      <c r="A1545" s="5">
        <v>1544.0</v>
      </c>
      <c r="B1545" s="5" t="s">
        <v>1983</v>
      </c>
      <c r="C1545" s="5" t="s">
        <v>109</v>
      </c>
      <c r="D1545" s="6">
        <f>IFERROR(__xludf.DUMMYFUNCTION("SPLIT(MID(C1545,2,LEN(C1545)-2), "","")"),741.0)</f>
        <v>741</v>
      </c>
      <c r="E1545" s="7"/>
      <c r="F1545" s="7"/>
      <c r="G1545" s="2" t="str">
        <f t="array" ref="G1545">IF(ISBLANK(D1545), "", INDEX(Categories!$B:$B,MATCH(D1545,Categories!$A:$A,0)))</f>
        <v>Shoes</v>
      </c>
      <c r="H1545" s="7" t="str">
        <f t="array" ref="H1545">IF(ISBLANK(E1545), "", INDEX(Categories!$B:$B,MATCH(E1545,Categories!$A:$A,0)))</f>
        <v/>
      </c>
      <c r="I1545" s="7" t="str">
        <f t="array" ref="I1545">IF(ISBLANK(F1545), "", INDEX(Categories!$B:$B,MATCH(F1545,Categories!$A:$A,0)))</f>
        <v/>
      </c>
      <c r="J1545" s="4"/>
      <c r="K1545" s="4"/>
      <c r="L1545" s="4"/>
      <c r="M1545" s="4"/>
      <c r="N1545" s="4"/>
      <c r="O1545" s="4"/>
      <c r="P1545" s="4"/>
      <c r="Q1545" s="4"/>
    </row>
    <row r="1546">
      <c r="A1546" s="5">
        <v>1545.0</v>
      </c>
      <c r="B1546" s="5" t="s">
        <v>1984</v>
      </c>
      <c r="C1546" s="5" t="s">
        <v>303</v>
      </c>
      <c r="D1546" s="6">
        <f>IFERROR(__xludf.DUMMYFUNCTION("SPLIT(MID(C1546,2,LEN(C1546)-2), "","")"),1241.0)</f>
        <v>1241</v>
      </c>
      <c r="E1546" s="7"/>
      <c r="F1546" s="7"/>
      <c r="G1546" s="2" t="str">
        <f t="array" ref="G1546">IF(ISBLANK(D1546), "", INDEX(Categories!$B:$B,MATCH(D1546,Categories!$A:$A,0)))</f>
        <v>Clothing &amp; Accessories</v>
      </c>
      <c r="H1546" s="7" t="str">
        <f t="array" ref="H1546">IF(ISBLANK(E1546), "", INDEX(Categories!$B:$B,MATCH(E1546,Categories!$A:$A,0)))</f>
        <v/>
      </c>
      <c r="I1546" s="7" t="str">
        <f t="array" ref="I1546">IF(ISBLANK(F1546), "", INDEX(Categories!$B:$B,MATCH(F1546,Categories!$A:$A,0)))</f>
        <v/>
      </c>
      <c r="J1546" s="4"/>
      <c r="K1546" s="4"/>
      <c r="L1546" s="4"/>
      <c r="M1546" s="4"/>
      <c r="N1546" s="4"/>
      <c r="O1546" s="4"/>
      <c r="P1546" s="4"/>
      <c r="Q1546" s="4"/>
    </row>
    <row r="1547">
      <c r="A1547" s="5">
        <v>1546.0</v>
      </c>
      <c r="B1547" s="5" t="s">
        <v>1985</v>
      </c>
      <c r="C1547" s="5" t="s">
        <v>303</v>
      </c>
      <c r="D1547" s="6">
        <f>IFERROR(__xludf.DUMMYFUNCTION("SPLIT(MID(C1547,2,LEN(C1547)-2), "","")"),1241.0)</f>
        <v>1241</v>
      </c>
      <c r="E1547" s="7"/>
      <c r="F1547" s="7"/>
      <c r="G1547" s="2" t="str">
        <f t="array" ref="G1547">IF(ISBLANK(D1547), "", INDEX(Categories!$B:$B,MATCH(D1547,Categories!$A:$A,0)))</f>
        <v>Clothing &amp; Accessories</v>
      </c>
      <c r="H1547" s="7" t="str">
        <f t="array" ref="H1547">IF(ISBLANK(E1547), "", INDEX(Categories!$B:$B,MATCH(E1547,Categories!$A:$A,0)))</f>
        <v/>
      </c>
      <c r="I1547" s="7" t="str">
        <f t="array" ref="I1547">IF(ISBLANK(F1547), "", INDEX(Categories!$B:$B,MATCH(F1547,Categories!$A:$A,0)))</f>
        <v/>
      </c>
      <c r="J1547" s="4"/>
      <c r="K1547" s="4"/>
      <c r="L1547" s="4"/>
      <c r="M1547" s="4"/>
      <c r="N1547" s="4"/>
      <c r="O1547" s="4"/>
      <c r="P1547" s="4"/>
      <c r="Q1547" s="4"/>
    </row>
    <row r="1548">
      <c r="A1548" s="5">
        <v>1547.0</v>
      </c>
      <c r="B1548" s="5" t="s">
        <v>1986</v>
      </c>
      <c r="C1548" s="5" t="s">
        <v>1987</v>
      </c>
      <c r="D1548" s="6">
        <f>IFERROR(__xludf.DUMMYFUNCTION("SPLIT(MID(C1548,2,LEN(C1548)-2), "","")"),1499.0)</f>
        <v>1499</v>
      </c>
      <c r="E1548" s="7">
        <f>IFERROR(__xludf.DUMMYFUNCTION("""COMPUTED_VALUE"""),1229.0)</f>
        <v>1229</v>
      </c>
      <c r="F1548" s="7">
        <f>IFERROR(__xludf.DUMMYFUNCTION("""COMPUTED_VALUE"""),1272.0)</f>
        <v>1272</v>
      </c>
      <c r="G1548" s="2" t="str">
        <f t="array" ref="G1548">IF(ISBLANK(D1548), "", INDEX(Categories!$B:$B,MATCH(D1548,Categories!$A:$A,0)))</f>
        <v>Hunting &amp; Fishing Sites</v>
      </c>
      <c r="H1548" s="7" t="str">
        <f t="array" ref="H1548">IF(ISBLANK(E1548), "", INDEX(Categories!$B:$B,MATCH(E1548,Categories!$A:$A,0)))</f>
        <v>Home Builders</v>
      </c>
      <c r="I1548" s="7" t="str">
        <f t="array" ref="I1548">IF(ISBLANK(F1548), "", INDEX(Categories!$B:$B,MATCH(F1548,Categories!$A:$A,0)))</f>
        <v>Womens Apparel</v>
      </c>
      <c r="J1548" s="4"/>
      <c r="K1548" s="4"/>
      <c r="L1548" s="4"/>
      <c r="M1548" s="4"/>
      <c r="N1548" s="4"/>
      <c r="O1548" s="4"/>
      <c r="P1548" s="4"/>
      <c r="Q1548" s="4"/>
    </row>
    <row r="1549">
      <c r="A1549" s="5">
        <v>1548.0</v>
      </c>
      <c r="B1549" s="5" t="s">
        <v>1988</v>
      </c>
      <c r="C1549" s="5" t="s">
        <v>626</v>
      </c>
      <c r="D1549" s="6">
        <f>IFERROR(__xludf.DUMMYFUNCTION("SPLIT(MID(C1549,2,LEN(C1549)-2), "","")"),1247.0)</f>
        <v>1247</v>
      </c>
      <c r="E1549" s="7"/>
      <c r="F1549" s="7"/>
      <c r="G1549" s="2" t="str">
        <f t="array" ref="G1549">IF(ISBLANK(D1549), "", INDEX(Categories!$B:$B,MATCH(D1549,Categories!$A:$A,0)))</f>
        <v>Clothing Children &amp; Infant</v>
      </c>
      <c r="H1549" s="7" t="str">
        <f t="array" ref="H1549">IF(ISBLANK(E1549), "", INDEX(Categories!$B:$B,MATCH(E1549,Categories!$A:$A,0)))</f>
        <v/>
      </c>
      <c r="I1549" s="7" t="str">
        <f t="array" ref="I1549">IF(ISBLANK(F1549), "", INDEX(Categories!$B:$B,MATCH(F1549,Categories!$A:$A,0)))</f>
        <v/>
      </c>
      <c r="J1549" s="4"/>
      <c r="K1549" s="4"/>
      <c r="L1549" s="4"/>
      <c r="M1549" s="4"/>
      <c r="N1549" s="4"/>
      <c r="O1549" s="4"/>
      <c r="P1549" s="4"/>
      <c r="Q1549" s="4"/>
    </row>
    <row r="1550">
      <c r="A1550" s="5">
        <v>1549.0</v>
      </c>
      <c r="B1550" s="5" t="s">
        <v>1989</v>
      </c>
      <c r="C1550" s="5" t="s">
        <v>147</v>
      </c>
      <c r="D1550" s="6">
        <f>IFERROR(__xludf.DUMMYFUNCTION("SPLIT(MID(C1550,2,LEN(C1550)-2), "","")"),867.0)</f>
        <v>867</v>
      </c>
      <c r="E1550" s="7"/>
      <c r="F1550" s="7"/>
      <c r="G1550" s="2" t="str">
        <f t="array" ref="G1550">IF(ISBLANK(D1550), "", INDEX(Categories!$B:$B,MATCH(D1550,Categories!$A:$A,0)))</f>
        <v>Arts &amp; Crafts Supplies</v>
      </c>
      <c r="H1550" s="7" t="str">
        <f t="array" ref="H1550">IF(ISBLANK(E1550), "", INDEX(Categories!$B:$B,MATCH(E1550,Categories!$A:$A,0)))</f>
        <v/>
      </c>
      <c r="I1550" s="7" t="str">
        <f t="array" ref="I1550">IF(ISBLANK(F1550), "", INDEX(Categories!$B:$B,MATCH(F1550,Categories!$A:$A,0)))</f>
        <v/>
      </c>
      <c r="J1550" s="4"/>
      <c r="K1550" s="4"/>
      <c r="L1550" s="4"/>
      <c r="M1550" s="4"/>
      <c r="N1550" s="4"/>
      <c r="O1550" s="4"/>
      <c r="P1550" s="4"/>
      <c r="Q1550" s="4"/>
    </row>
    <row r="1551">
      <c r="A1551" s="5">
        <v>1550.0</v>
      </c>
      <c r="B1551" s="5" t="s">
        <v>1990</v>
      </c>
      <c r="C1551" s="5" t="s">
        <v>14</v>
      </c>
      <c r="D1551" s="6">
        <f>IFERROR(__xludf.DUMMYFUNCTION("SPLIT(MID(C1551,2,LEN(C1551)-2), "","")"),1065.0)</f>
        <v>1065</v>
      </c>
      <c r="E1551" s="7"/>
      <c r="F1551" s="7"/>
      <c r="G1551" s="2" t="str">
        <f t="array" ref="G1551">IF(ISBLANK(D1551), "", INDEX(Categories!$B:$B,MATCH(D1551,Categories!$A:$A,0)))</f>
        <v>Hardware</v>
      </c>
      <c r="H1551" s="7" t="str">
        <f t="array" ref="H1551">IF(ISBLANK(E1551), "", INDEX(Categories!$B:$B,MATCH(E1551,Categories!$A:$A,0)))</f>
        <v/>
      </c>
      <c r="I1551" s="7" t="str">
        <f t="array" ref="I1551">IF(ISBLANK(F1551), "", INDEX(Categories!$B:$B,MATCH(F1551,Categories!$A:$A,0)))</f>
        <v/>
      </c>
      <c r="J1551" s="4"/>
      <c r="K1551" s="4"/>
      <c r="L1551" s="4"/>
      <c r="M1551" s="4"/>
      <c r="N1551" s="4"/>
      <c r="O1551" s="4"/>
      <c r="P1551" s="4"/>
      <c r="Q1551" s="4"/>
    </row>
    <row r="1552">
      <c r="A1552" s="5">
        <v>1551.0</v>
      </c>
      <c r="B1552" s="5" t="s">
        <v>1991</v>
      </c>
      <c r="C1552" s="5" t="s">
        <v>209</v>
      </c>
      <c r="D1552" s="6">
        <f>IFERROR(__xludf.DUMMYFUNCTION("SPLIT(MID(C1552,2,LEN(C1552)-2), "","")"),1945.0)</f>
        <v>1945</v>
      </c>
      <c r="E1552" s="7"/>
      <c r="F1552" s="7"/>
      <c r="G1552" s="2" t="str">
        <f t="array" ref="G1552">IF(ISBLANK(D1552), "", INDEX(Categories!$B:$B,MATCH(D1552,Categories!$A:$A,0)))</f>
        <v>Electronic Equipment &amp; Supplies</v>
      </c>
      <c r="H1552" s="7" t="str">
        <f t="array" ref="H1552">IF(ISBLANK(E1552), "", INDEX(Categories!$B:$B,MATCH(E1552,Categories!$A:$A,0)))</f>
        <v/>
      </c>
      <c r="I1552" s="7" t="str">
        <f t="array" ref="I1552">IF(ISBLANK(F1552), "", INDEX(Categories!$B:$B,MATCH(F1552,Categories!$A:$A,0)))</f>
        <v/>
      </c>
      <c r="J1552" s="4"/>
      <c r="K1552" s="4"/>
      <c r="L1552" s="4"/>
      <c r="M1552" s="4"/>
      <c r="N1552" s="4"/>
      <c r="O1552" s="4"/>
      <c r="P1552" s="4"/>
      <c r="Q1552" s="4"/>
    </row>
    <row r="1553">
      <c r="A1553" s="5">
        <v>1552.0</v>
      </c>
      <c r="B1553" s="5" t="s">
        <v>1992</v>
      </c>
      <c r="C1553" s="5" t="s">
        <v>1081</v>
      </c>
      <c r="D1553" s="6">
        <f>IFERROR(__xludf.DUMMYFUNCTION("SPLIT(MID(C1553,2,LEN(C1553)-2), "","")"),18.0)</f>
        <v>18</v>
      </c>
      <c r="E1553" s="7"/>
      <c r="F1553" s="7"/>
      <c r="G1553" s="2" t="str">
        <f t="array" ref="G1553">IF(ISBLANK(D1553), "", INDEX(Categories!$B:$B,MATCH(D1553,Categories!$A:$A,0)))</f>
        <v>Furniture</v>
      </c>
      <c r="H1553" s="7" t="str">
        <f t="array" ref="H1553">IF(ISBLANK(E1553), "", INDEX(Categories!$B:$B,MATCH(E1553,Categories!$A:$A,0)))</f>
        <v/>
      </c>
      <c r="I1553" s="7" t="str">
        <f t="array" ref="I1553">IF(ISBLANK(F1553), "", INDEX(Categories!$B:$B,MATCH(F1553,Categories!$A:$A,0)))</f>
        <v/>
      </c>
      <c r="J1553" s="4"/>
      <c r="K1553" s="4"/>
      <c r="L1553" s="4"/>
      <c r="M1553" s="4"/>
      <c r="N1553" s="4"/>
      <c r="O1553" s="4"/>
      <c r="P1553" s="4"/>
      <c r="Q1553" s="4"/>
    </row>
    <row r="1554">
      <c r="A1554" s="5">
        <v>1553.0</v>
      </c>
      <c r="B1554" s="5" t="s">
        <v>1993</v>
      </c>
      <c r="C1554" s="5" t="s">
        <v>1480</v>
      </c>
      <c r="D1554" s="6">
        <f>IFERROR(__xludf.DUMMYFUNCTION("SPLIT(MID(C1554,2,LEN(C1554)-2), "","")"),328.0)</f>
        <v>328</v>
      </c>
      <c r="E1554" s="7"/>
      <c r="F1554" s="7"/>
      <c r="G1554" s="2" t="str">
        <f t="array" ref="G1554">IF(ISBLANK(D1554), "", INDEX(Categories!$B:$B,MATCH(D1554,Categories!$A:$A,0)))</f>
        <v>Golf Equipment &amp; Supplies</v>
      </c>
      <c r="H1554" s="7" t="str">
        <f t="array" ref="H1554">IF(ISBLANK(E1554), "", INDEX(Categories!$B:$B,MATCH(E1554,Categories!$A:$A,0)))</f>
        <v/>
      </c>
      <c r="I1554" s="7" t="str">
        <f t="array" ref="I1554">IF(ISBLANK(F1554), "", INDEX(Categories!$B:$B,MATCH(F1554,Categories!$A:$A,0)))</f>
        <v/>
      </c>
      <c r="J1554" s="4"/>
      <c r="K1554" s="4"/>
      <c r="L1554" s="4"/>
      <c r="M1554" s="4"/>
      <c r="N1554" s="4"/>
      <c r="O1554" s="4"/>
      <c r="P1554" s="4"/>
      <c r="Q1554" s="4"/>
    </row>
    <row r="1555">
      <c r="A1555" s="5">
        <v>1554.0</v>
      </c>
      <c r="B1555" s="5" t="s">
        <v>1994</v>
      </c>
      <c r="C1555" s="5" t="s">
        <v>760</v>
      </c>
      <c r="D1555" s="6">
        <f>IFERROR(__xludf.DUMMYFUNCTION("SPLIT(MID(C1555,2,LEN(C1555)-2), "","")"),1246.0)</f>
        <v>1246</v>
      </c>
      <c r="E1555" s="7"/>
      <c r="F1555" s="7"/>
      <c r="G1555" s="2" t="str">
        <f t="array" ref="G1555">IF(ISBLANK(D1555), "", INDEX(Categories!$B:$B,MATCH(D1555,Categories!$A:$A,0)))</f>
        <v>Clothing</v>
      </c>
      <c r="H1555" s="7" t="str">
        <f t="array" ref="H1555">IF(ISBLANK(E1555), "", INDEX(Categories!$B:$B,MATCH(E1555,Categories!$A:$A,0)))</f>
        <v/>
      </c>
      <c r="I1555" s="7" t="str">
        <f t="array" ref="I1555">IF(ISBLANK(F1555), "", INDEX(Categories!$B:$B,MATCH(F1555,Categories!$A:$A,0)))</f>
        <v/>
      </c>
      <c r="J1555" s="4"/>
      <c r="K1555" s="4"/>
      <c r="L1555" s="4"/>
      <c r="M1555" s="4"/>
      <c r="N1555" s="4"/>
      <c r="O1555" s="4"/>
      <c r="P1555" s="4"/>
      <c r="Q1555" s="4"/>
    </row>
    <row r="1556">
      <c r="A1556" s="5">
        <v>1555.0</v>
      </c>
      <c r="B1556" s="5" t="s">
        <v>1995</v>
      </c>
      <c r="C1556" s="5" t="s">
        <v>65</v>
      </c>
      <c r="D1556" s="6">
        <f>IFERROR(__xludf.DUMMYFUNCTION("SPLIT(MID(C1556,2,LEN(C1556)-2), "","")"),983.0)</f>
        <v>983</v>
      </c>
      <c r="E1556" s="7"/>
      <c r="F1556" s="7"/>
      <c r="G1556" s="2" t="str">
        <f t="array" ref="G1556">IF(ISBLANK(D1556), "", INDEX(Categories!$B:$B,MATCH(D1556,Categories!$A:$A,0)))</f>
        <v>Mobile Telephone Service</v>
      </c>
      <c r="H1556" s="7" t="str">
        <f t="array" ref="H1556">IF(ISBLANK(E1556), "", INDEX(Categories!$B:$B,MATCH(E1556,Categories!$A:$A,0)))</f>
        <v/>
      </c>
      <c r="I1556" s="7" t="str">
        <f t="array" ref="I1556">IF(ISBLANK(F1556), "", INDEX(Categories!$B:$B,MATCH(F1556,Categories!$A:$A,0)))</f>
        <v/>
      </c>
      <c r="J1556" s="4"/>
      <c r="K1556" s="4"/>
      <c r="L1556" s="4"/>
      <c r="M1556" s="4"/>
      <c r="N1556" s="4"/>
      <c r="O1556" s="4"/>
      <c r="P1556" s="4"/>
      <c r="Q1556" s="4"/>
    </row>
    <row r="1557">
      <c r="A1557" s="5">
        <v>1556.0</v>
      </c>
      <c r="B1557" s="5" t="s">
        <v>1996</v>
      </c>
      <c r="C1557" s="5" t="s">
        <v>303</v>
      </c>
      <c r="D1557" s="6">
        <f>IFERROR(__xludf.DUMMYFUNCTION("SPLIT(MID(C1557,2,LEN(C1557)-2), "","")"),1241.0)</f>
        <v>1241</v>
      </c>
      <c r="E1557" s="7"/>
      <c r="F1557" s="7"/>
      <c r="G1557" s="2" t="str">
        <f t="array" ref="G1557">IF(ISBLANK(D1557), "", INDEX(Categories!$B:$B,MATCH(D1557,Categories!$A:$A,0)))</f>
        <v>Clothing &amp; Accessories</v>
      </c>
      <c r="H1557" s="7" t="str">
        <f t="array" ref="H1557">IF(ISBLANK(E1557), "", INDEX(Categories!$B:$B,MATCH(E1557,Categories!$A:$A,0)))</f>
        <v/>
      </c>
      <c r="I1557" s="7" t="str">
        <f t="array" ref="I1557">IF(ISBLANK(F1557), "", INDEX(Categories!$B:$B,MATCH(F1557,Categories!$A:$A,0)))</f>
        <v/>
      </c>
      <c r="J1557" s="4"/>
      <c r="K1557" s="4"/>
      <c r="L1557" s="4"/>
      <c r="M1557" s="4"/>
      <c r="N1557" s="4"/>
      <c r="O1557" s="4"/>
      <c r="P1557" s="4"/>
      <c r="Q1557" s="4"/>
    </row>
    <row r="1558">
      <c r="A1558" s="5">
        <v>1557.0</v>
      </c>
      <c r="B1558" s="5" t="s">
        <v>1997</v>
      </c>
      <c r="C1558" s="5" t="s">
        <v>115</v>
      </c>
      <c r="D1558" s="6">
        <f>IFERROR(__xludf.DUMMYFUNCTION("SPLIT(MID(C1558,2,LEN(C1558)-2), "","")"),1272.0)</f>
        <v>1272</v>
      </c>
      <c r="E1558" s="7"/>
      <c r="F1558" s="7"/>
      <c r="G1558" s="2" t="str">
        <f t="array" ref="G1558">IF(ISBLANK(D1558), "", INDEX(Categories!$B:$B,MATCH(D1558,Categories!$A:$A,0)))</f>
        <v>Womens Apparel</v>
      </c>
      <c r="H1558" s="7" t="str">
        <f t="array" ref="H1558">IF(ISBLANK(E1558), "", INDEX(Categories!$B:$B,MATCH(E1558,Categories!$A:$A,0)))</f>
        <v/>
      </c>
      <c r="I1558" s="7" t="str">
        <f t="array" ref="I1558">IF(ISBLANK(F1558), "", INDEX(Categories!$B:$B,MATCH(F1558,Categories!$A:$A,0)))</f>
        <v/>
      </c>
      <c r="J1558" s="4"/>
      <c r="K1558" s="4"/>
      <c r="L1558" s="4"/>
      <c r="M1558" s="4"/>
      <c r="N1558" s="4"/>
      <c r="O1558" s="4"/>
      <c r="P1558" s="4"/>
      <c r="Q1558" s="4"/>
    </row>
    <row r="1559">
      <c r="A1559" s="5">
        <v>1558.0</v>
      </c>
      <c r="B1559" s="5" t="s">
        <v>1998</v>
      </c>
      <c r="C1559" s="5" t="s">
        <v>303</v>
      </c>
      <c r="D1559" s="6">
        <f>IFERROR(__xludf.DUMMYFUNCTION("SPLIT(MID(C1559,2,LEN(C1559)-2), "","")"),1241.0)</f>
        <v>1241</v>
      </c>
      <c r="E1559" s="7"/>
      <c r="F1559" s="7"/>
      <c r="G1559" s="2" t="str">
        <f t="array" ref="G1559">IF(ISBLANK(D1559), "", INDEX(Categories!$B:$B,MATCH(D1559,Categories!$A:$A,0)))</f>
        <v>Clothing &amp; Accessories</v>
      </c>
      <c r="H1559" s="7" t="str">
        <f t="array" ref="H1559">IF(ISBLANK(E1559), "", INDEX(Categories!$B:$B,MATCH(E1559,Categories!$A:$A,0)))</f>
        <v/>
      </c>
      <c r="I1559" s="7" t="str">
        <f t="array" ref="I1559">IF(ISBLANK(F1559), "", INDEX(Categories!$B:$B,MATCH(F1559,Categories!$A:$A,0)))</f>
        <v/>
      </c>
      <c r="J1559" s="4"/>
      <c r="K1559" s="4"/>
      <c r="L1559" s="4"/>
      <c r="M1559" s="4"/>
      <c r="N1559" s="4"/>
      <c r="O1559" s="4"/>
      <c r="P1559" s="4"/>
      <c r="Q1559" s="4"/>
    </row>
    <row r="1560">
      <c r="A1560" s="5">
        <v>1559.0</v>
      </c>
      <c r="B1560" s="5" t="s">
        <v>1999</v>
      </c>
      <c r="C1560" s="5" t="s">
        <v>109</v>
      </c>
      <c r="D1560" s="6">
        <f>IFERROR(__xludf.DUMMYFUNCTION("SPLIT(MID(C1560,2,LEN(C1560)-2), "","")"),741.0)</f>
        <v>741</v>
      </c>
      <c r="E1560" s="7"/>
      <c r="F1560" s="7"/>
      <c r="G1560" s="2" t="str">
        <f t="array" ref="G1560">IF(ISBLANK(D1560), "", INDEX(Categories!$B:$B,MATCH(D1560,Categories!$A:$A,0)))</f>
        <v>Shoes</v>
      </c>
      <c r="H1560" s="7" t="str">
        <f t="array" ref="H1560">IF(ISBLANK(E1560), "", INDEX(Categories!$B:$B,MATCH(E1560,Categories!$A:$A,0)))</f>
        <v/>
      </c>
      <c r="I1560" s="7" t="str">
        <f t="array" ref="I1560">IF(ISBLANK(F1560), "", INDEX(Categories!$B:$B,MATCH(F1560,Categories!$A:$A,0)))</f>
        <v/>
      </c>
      <c r="J1560" s="4"/>
      <c r="K1560" s="4"/>
      <c r="L1560" s="4"/>
      <c r="M1560" s="4"/>
      <c r="N1560" s="4"/>
      <c r="O1560" s="4"/>
      <c r="P1560" s="4"/>
      <c r="Q1560" s="4"/>
    </row>
    <row r="1561">
      <c r="A1561" s="5">
        <v>1560.0</v>
      </c>
      <c r="B1561" s="5" t="s">
        <v>2000</v>
      </c>
      <c r="C1561" s="5" t="s">
        <v>303</v>
      </c>
      <c r="D1561" s="6">
        <f>IFERROR(__xludf.DUMMYFUNCTION("SPLIT(MID(C1561,2,LEN(C1561)-2), "","")"),1241.0)</f>
        <v>1241</v>
      </c>
      <c r="E1561" s="7"/>
      <c r="F1561" s="7"/>
      <c r="G1561" s="2" t="str">
        <f t="array" ref="G1561">IF(ISBLANK(D1561), "", INDEX(Categories!$B:$B,MATCH(D1561,Categories!$A:$A,0)))</f>
        <v>Clothing &amp; Accessories</v>
      </c>
      <c r="H1561" s="7" t="str">
        <f t="array" ref="H1561">IF(ISBLANK(E1561), "", INDEX(Categories!$B:$B,MATCH(E1561,Categories!$A:$A,0)))</f>
        <v/>
      </c>
      <c r="I1561" s="7" t="str">
        <f t="array" ref="I1561">IF(ISBLANK(F1561), "", INDEX(Categories!$B:$B,MATCH(F1561,Categories!$A:$A,0)))</f>
        <v/>
      </c>
      <c r="J1561" s="4"/>
      <c r="K1561" s="4"/>
      <c r="L1561" s="4"/>
      <c r="M1561" s="4"/>
      <c r="N1561" s="4"/>
      <c r="O1561" s="4"/>
      <c r="P1561" s="4"/>
      <c r="Q1561" s="4"/>
    </row>
    <row r="1562">
      <c r="A1562" s="5">
        <v>1561.0</v>
      </c>
      <c r="B1562" s="5" t="s">
        <v>2001</v>
      </c>
      <c r="C1562" s="5" t="s">
        <v>303</v>
      </c>
      <c r="D1562" s="6">
        <f>IFERROR(__xludf.DUMMYFUNCTION("SPLIT(MID(C1562,2,LEN(C1562)-2), "","")"),1241.0)</f>
        <v>1241</v>
      </c>
      <c r="E1562" s="7"/>
      <c r="F1562" s="7"/>
      <c r="G1562" s="2" t="str">
        <f t="array" ref="G1562">IF(ISBLANK(D1562), "", INDEX(Categories!$B:$B,MATCH(D1562,Categories!$A:$A,0)))</f>
        <v>Clothing &amp; Accessories</v>
      </c>
      <c r="H1562" s="7" t="str">
        <f t="array" ref="H1562">IF(ISBLANK(E1562), "", INDEX(Categories!$B:$B,MATCH(E1562,Categories!$A:$A,0)))</f>
        <v/>
      </c>
      <c r="I1562" s="7" t="str">
        <f t="array" ref="I1562">IF(ISBLANK(F1562), "", INDEX(Categories!$B:$B,MATCH(F1562,Categories!$A:$A,0)))</f>
        <v/>
      </c>
      <c r="J1562" s="4"/>
      <c r="K1562" s="4"/>
      <c r="L1562" s="4"/>
      <c r="M1562" s="4"/>
      <c r="N1562" s="4"/>
      <c r="O1562" s="4"/>
      <c r="P1562" s="4"/>
      <c r="Q1562" s="4"/>
    </row>
    <row r="1563">
      <c r="A1563" s="5">
        <v>1562.0</v>
      </c>
      <c r="B1563" s="5" t="s">
        <v>2002</v>
      </c>
      <c r="C1563" s="5" t="s">
        <v>109</v>
      </c>
      <c r="D1563" s="6">
        <f>IFERROR(__xludf.DUMMYFUNCTION("SPLIT(MID(C1563,2,LEN(C1563)-2), "","")"),741.0)</f>
        <v>741</v>
      </c>
      <c r="E1563" s="7"/>
      <c r="F1563" s="7"/>
      <c r="G1563" s="2" t="str">
        <f t="array" ref="G1563">IF(ISBLANK(D1563), "", INDEX(Categories!$B:$B,MATCH(D1563,Categories!$A:$A,0)))</f>
        <v>Shoes</v>
      </c>
      <c r="H1563" s="7" t="str">
        <f t="array" ref="H1563">IF(ISBLANK(E1563), "", INDEX(Categories!$B:$B,MATCH(E1563,Categories!$A:$A,0)))</f>
        <v/>
      </c>
      <c r="I1563" s="7" t="str">
        <f t="array" ref="I1563">IF(ISBLANK(F1563), "", INDEX(Categories!$B:$B,MATCH(F1563,Categories!$A:$A,0)))</f>
        <v/>
      </c>
      <c r="J1563" s="4"/>
      <c r="K1563" s="4"/>
      <c r="L1563" s="4"/>
      <c r="M1563" s="4"/>
      <c r="N1563" s="4"/>
      <c r="O1563" s="4"/>
      <c r="P1563" s="4"/>
      <c r="Q1563" s="4"/>
    </row>
    <row r="1564">
      <c r="A1564" s="5">
        <v>1563.0</v>
      </c>
      <c r="B1564" s="5" t="s">
        <v>2003</v>
      </c>
      <c r="C1564" s="5" t="s">
        <v>274</v>
      </c>
      <c r="D1564" s="6">
        <f>IFERROR(__xludf.DUMMYFUNCTION("SPLIT(MID(C1564,2,LEN(C1564)-2), "","")"),619.0)</f>
        <v>619</v>
      </c>
      <c r="E1564" s="7"/>
      <c r="F1564" s="7"/>
      <c r="G1564" s="2" t="str">
        <f t="array" ref="G1564">IF(ISBLANK(D1564), "", INDEX(Categories!$B:$B,MATCH(D1564,Categories!$A:$A,0)))</f>
        <v>Jewelry</v>
      </c>
      <c r="H1564" s="7" t="str">
        <f t="array" ref="H1564">IF(ISBLANK(E1564), "", INDEX(Categories!$B:$B,MATCH(E1564,Categories!$A:$A,0)))</f>
        <v/>
      </c>
      <c r="I1564" s="7" t="str">
        <f t="array" ref="I1564">IF(ISBLANK(F1564), "", INDEX(Categories!$B:$B,MATCH(F1564,Categories!$A:$A,0)))</f>
        <v/>
      </c>
      <c r="J1564" s="4"/>
      <c r="K1564" s="4"/>
      <c r="L1564" s="4"/>
      <c r="M1564" s="4"/>
      <c r="N1564" s="4"/>
      <c r="O1564" s="4"/>
      <c r="P1564" s="4"/>
      <c r="Q1564" s="4"/>
    </row>
    <row r="1565">
      <c r="A1565" s="5">
        <v>1564.0</v>
      </c>
      <c r="B1565" s="5" t="s">
        <v>2004</v>
      </c>
      <c r="C1565" s="5" t="s">
        <v>109</v>
      </c>
      <c r="D1565" s="6">
        <f>IFERROR(__xludf.DUMMYFUNCTION("SPLIT(MID(C1565,2,LEN(C1565)-2), "","")"),741.0)</f>
        <v>741</v>
      </c>
      <c r="E1565" s="7"/>
      <c r="F1565" s="7"/>
      <c r="G1565" s="2" t="str">
        <f t="array" ref="G1565">IF(ISBLANK(D1565), "", INDEX(Categories!$B:$B,MATCH(D1565,Categories!$A:$A,0)))</f>
        <v>Shoes</v>
      </c>
      <c r="H1565" s="7" t="str">
        <f t="array" ref="H1565">IF(ISBLANK(E1565), "", INDEX(Categories!$B:$B,MATCH(E1565,Categories!$A:$A,0)))</f>
        <v/>
      </c>
      <c r="I1565" s="7" t="str">
        <f t="array" ref="I1565">IF(ISBLANK(F1565), "", INDEX(Categories!$B:$B,MATCH(F1565,Categories!$A:$A,0)))</f>
        <v/>
      </c>
      <c r="J1565" s="4"/>
      <c r="K1565" s="4"/>
      <c r="L1565" s="4"/>
      <c r="M1565" s="4"/>
      <c r="N1565" s="4"/>
      <c r="O1565" s="4"/>
      <c r="P1565" s="4"/>
      <c r="Q1565" s="4"/>
    </row>
    <row r="1566">
      <c r="A1566" s="5">
        <v>1565.0</v>
      </c>
      <c r="B1566" s="5" t="s">
        <v>2005</v>
      </c>
      <c r="C1566" s="5" t="s">
        <v>115</v>
      </c>
      <c r="D1566" s="6">
        <f>IFERROR(__xludf.DUMMYFUNCTION("SPLIT(MID(C1566,2,LEN(C1566)-2), "","")"),1272.0)</f>
        <v>1272</v>
      </c>
      <c r="E1566" s="7"/>
      <c r="F1566" s="7"/>
      <c r="G1566" s="2" t="str">
        <f t="array" ref="G1566">IF(ISBLANK(D1566), "", INDEX(Categories!$B:$B,MATCH(D1566,Categories!$A:$A,0)))</f>
        <v>Womens Apparel</v>
      </c>
      <c r="H1566" s="7" t="str">
        <f t="array" ref="H1566">IF(ISBLANK(E1566), "", INDEX(Categories!$B:$B,MATCH(E1566,Categories!$A:$A,0)))</f>
        <v/>
      </c>
      <c r="I1566" s="7" t="str">
        <f t="array" ref="I1566">IF(ISBLANK(F1566), "", INDEX(Categories!$B:$B,MATCH(F1566,Categories!$A:$A,0)))</f>
        <v/>
      </c>
      <c r="J1566" s="4"/>
      <c r="K1566" s="4"/>
      <c r="L1566" s="4"/>
      <c r="M1566" s="4"/>
      <c r="N1566" s="4"/>
      <c r="O1566" s="4"/>
      <c r="P1566" s="4"/>
      <c r="Q1566" s="4"/>
    </row>
    <row r="1567">
      <c r="A1567" s="5">
        <v>1566.0</v>
      </c>
      <c r="B1567" s="5" t="s">
        <v>2006</v>
      </c>
      <c r="C1567" s="5" t="s">
        <v>85</v>
      </c>
      <c r="D1567" s="6">
        <f>IFERROR(__xludf.DUMMYFUNCTION("SPLIT(MID(C1567,2,LEN(C1567)-2), "","")"),1243.0)</f>
        <v>1243</v>
      </c>
      <c r="E1567" s="7"/>
      <c r="F1567" s="7"/>
      <c r="G1567" s="2" t="str">
        <f t="array" ref="G1567">IF(ISBLANK(D1567), "", INDEX(Categories!$B:$B,MATCH(D1567,Categories!$A:$A,0)))</f>
        <v>Boutique Items</v>
      </c>
      <c r="H1567" s="7" t="str">
        <f t="array" ref="H1567">IF(ISBLANK(E1567), "", INDEX(Categories!$B:$B,MATCH(E1567,Categories!$A:$A,0)))</f>
        <v/>
      </c>
      <c r="I1567" s="7" t="str">
        <f t="array" ref="I1567">IF(ISBLANK(F1567), "", INDEX(Categories!$B:$B,MATCH(F1567,Categories!$A:$A,0)))</f>
        <v/>
      </c>
      <c r="J1567" s="4"/>
      <c r="K1567" s="4"/>
      <c r="L1567" s="4"/>
      <c r="M1567" s="4"/>
      <c r="N1567" s="4"/>
      <c r="O1567" s="4"/>
      <c r="P1567" s="4"/>
      <c r="Q1567" s="4"/>
    </row>
    <row r="1568">
      <c r="A1568" s="5">
        <v>1567.0</v>
      </c>
      <c r="B1568" s="5" t="s">
        <v>2007</v>
      </c>
      <c r="C1568" s="5" t="s">
        <v>760</v>
      </c>
      <c r="D1568" s="6">
        <f>IFERROR(__xludf.DUMMYFUNCTION("SPLIT(MID(C1568,2,LEN(C1568)-2), "","")"),1246.0)</f>
        <v>1246</v>
      </c>
      <c r="E1568" s="7"/>
      <c r="F1568" s="7"/>
      <c r="G1568" s="2" t="str">
        <f t="array" ref="G1568">IF(ISBLANK(D1568), "", INDEX(Categories!$B:$B,MATCH(D1568,Categories!$A:$A,0)))</f>
        <v>Clothing</v>
      </c>
      <c r="H1568" s="7" t="str">
        <f t="array" ref="H1568">IF(ISBLANK(E1568), "", INDEX(Categories!$B:$B,MATCH(E1568,Categories!$A:$A,0)))</f>
        <v/>
      </c>
      <c r="I1568" s="7" t="str">
        <f t="array" ref="I1568">IF(ISBLANK(F1568), "", INDEX(Categories!$B:$B,MATCH(F1568,Categories!$A:$A,0)))</f>
        <v/>
      </c>
      <c r="J1568" s="4"/>
      <c r="K1568" s="4"/>
      <c r="L1568" s="4"/>
      <c r="M1568" s="4"/>
      <c r="N1568" s="4"/>
      <c r="O1568" s="4"/>
      <c r="P1568" s="4"/>
      <c r="Q1568" s="4"/>
    </row>
    <row r="1569">
      <c r="A1569" s="5">
        <v>1568.0</v>
      </c>
      <c r="B1569" s="5" t="s">
        <v>2008</v>
      </c>
      <c r="C1569" s="5" t="s">
        <v>303</v>
      </c>
      <c r="D1569" s="6">
        <f>IFERROR(__xludf.DUMMYFUNCTION("SPLIT(MID(C1569,2,LEN(C1569)-2), "","")"),1241.0)</f>
        <v>1241</v>
      </c>
      <c r="E1569" s="7"/>
      <c r="F1569" s="7"/>
      <c r="G1569" s="2" t="str">
        <f t="array" ref="G1569">IF(ISBLANK(D1569), "", INDEX(Categories!$B:$B,MATCH(D1569,Categories!$A:$A,0)))</f>
        <v>Clothing &amp; Accessories</v>
      </c>
      <c r="H1569" s="7" t="str">
        <f t="array" ref="H1569">IF(ISBLANK(E1569), "", INDEX(Categories!$B:$B,MATCH(E1569,Categories!$A:$A,0)))</f>
        <v/>
      </c>
      <c r="I1569" s="7" t="str">
        <f t="array" ref="I1569">IF(ISBLANK(F1569), "", INDEX(Categories!$B:$B,MATCH(F1569,Categories!$A:$A,0)))</f>
        <v/>
      </c>
      <c r="J1569" s="4"/>
      <c r="K1569" s="4"/>
      <c r="L1569" s="4"/>
      <c r="M1569" s="4"/>
      <c r="N1569" s="4"/>
      <c r="O1569" s="4"/>
      <c r="P1569" s="4"/>
      <c r="Q1569" s="4"/>
    </row>
    <row r="1570">
      <c r="A1570" s="5">
        <v>1569.0</v>
      </c>
      <c r="B1570" s="5" t="s">
        <v>2009</v>
      </c>
      <c r="C1570" s="5" t="s">
        <v>303</v>
      </c>
      <c r="D1570" s="6">
        <f>IFERROR(__xludf.DUMMYFUNCTION("SPLIT(MID(C1570,2,LEN(C1570)-2), "","")"),1241.0)</f>
        <v>1241</v>
      </c>
      <c r="E1570" s="7"/>
      <c r="F1570" s="7"/>
      <c r="G1570" s="2" t="str">
        <f t="array" ref="G1570">IF(ISBLANK(D1570), "", INDEX(Categories!$B:$B,MATCH(D1570,Categories!$A:$A,0)))</f>
        <v>Clothing &amp; Accessories</v>
      </c>
      <c r="H1570" s="7" t="str">
        <f t="array" ref="H1570">IF(ISBLANK(E1570), "", INDEX(Categories!$B:$B,MATCH(E1570,Categories!$A:$A,0)))</f>
        <v/>
      </c>
      <c r="I1570" s="7" t="str">
        <f t="array" ref="I1570">IF(ISBLANK(F1570), "", INDEX(Categories!$B:$B,MATCH(F1570,Categories!$A:$A,0)))</f>
        <v/>
      </c>
      <c r="J1570" s="4"/>
      <c r="K1570" s="4"/>
      <c r="L1570" s="4"/>
      <c r="M1570" s="4"/>
      <c r="N1570" s="4"/>
      <c r="O1570" s="4"/>
      <c r="P1570" s="4"/>
      <c r="Q1570" s="4"/>
    </row>
    <row r="1571">
      <c r="A1571" s="5">
        <v>1570.0</v>
      </c>
      <c r="B1571" s="5" t="s">
        <v>2010</v>
      </c>
      <c r="C1571" s="5" t="s">
        <v>109</v>
      </c>
      <c r="D1571" s="6">
        <f>IFERROR(__xludf.DUMMYFUNCTION("SPLIT(MID(C1571,2,LEN(C1571)-2), "","")"),741.0)</f>
        <v>741</v>
      </c>
      <c r="E1571" s="7"/>
      <c r="F1571" s="7"/>
      <c r="G1571" s="2" t="str">
        <f t="array" ref="G1571">IF(ISBLANK(D1571), "", INDEX(Categories!$B:$B,MATCH(D1571,Categories!$A:$A,0)))</f>
        <v>Shoes</v>
      </c>
      <c r="H1571" s="7" t="str">
        <f t="array" ref="H1571">IF(ISBLANK(E1571), "", INDEX(Categories!$B:$B,MATCH(E1571,Categories!$A:$A,0)))</f>
        <v/>
      </c>
      <c r="I1571" s="7" t="str">
        <f t="array" ref="I1571">IF(ISBLANK(F1571), "", INDEX(Categories!$B:$B,MATCH(F1571,Categories!$A:$A,0)))</f>
        <v/>
      </c>
      <c r="J1571" s="4"/>
      <c r="K1571" s="4"/>
      <c r="L1571" s="4"/>
      <c r="M1571" s="4"/>
      <c r="N1571" s="4"/>
      <c r="O1571" s="4"/>
      <c r="P1571" s="4"/>
      <c r="Q1571" s="4"/>
    </row>
    <row r="1572">
      <c r="A1572" s="5">
        <v>1571.0</v>
      </c>
      <c r="B1572" s="5" t="s">
        <v>2011</v>
      </c>
      <c r="C1572" s="5" t="s">
        <v>200</v>
      </c>
      <c r="D1572" s="6">
        <f>IFERROR(__xludf.DUMMYFUNCTION("SPLIT(MID(C1572,2,LEN(C1572)-2), "","")"),316.0)</f>
        <v>316</v>
      </c>
      <c r="E1572" s="7"/>
      <c r="F1572" s="7"/>
      <c r="G1572" s="2" t="str">
        <f t="array" ref="G1572">IF(ISBLANK(D1572), "", INDEX(Categories!$B:$B,MATCH(D1572,Categories!$A:$A,0)))</f>
        <v>Sporting Goods</v>
      </c>
      <c r="H1572" s="7" t="str">
        <f t="array" ref="H1572">IF(ISBLANK(E1572), "", INDEX(Categories!$B:$B,MATCH(E1572,Categories!$A:$A,0)))</f>
        <v/>
      </c>
      <c r="I1572" s="7" t="str">
        <f t="array" ref="I1572">IF(ISBLANK(F1572), "", INDEX(Categories!$B:$B,MATCH(F1572,Categories!$A:$A,0)))</f>
        <v/>
      </c>
      <c r="J1572" s="4"/>
      <c r="K1572" s="4"/>
      <c r="L1572" s="4"/>
      <c r="M1572" s="4"/>
      <c r="N1572" s="4"/>
      <c r="O1572" s="4"/>
      <c r="P1572" s="4"/>
      <c r="Q1572" s="4"/>
    </row>
    <row r="1573">
      <c r="A1573" s="5">
        <v>1572.0</v>
      </c>
      <c r="B1573" s="5" t="s">
        <v>2012</v>
      </c>
      <c r="C1573" s="5" t="s">
        <v>2013</v>
      </c>
      <c r="D1573" s="6">
        <f>IFERROR(__xludf.DUMMYFUNCTION("SPLIT(MID(C1573,2,LEN(C1573)-2), "","")"),2639.0)</f>
        <v>2639</v>
      </c>
      <c r="E1573" s="7"/>
      <c r="F1573" s="7"/>
      <c r="G1573" s="2" t="str">
        <f t="array" ref="G1573">IF(ISBLANK(D1573), "", INDEX(Categories!$B:$B,MATCH(D1573,Categories!$A:$A,0)))</f>
        <v>Chinaware &amp; Glassware Retail</v>
      </c>
      <c r="H1573" s="7" t="str">
        <f t="array" ref="H1573">IF(ISBLANK(E1573), "", INDEX(Categories!$B:$B,MATCH(E1573,Categories!$A:$A,0)))</f>
        <v/>
      </c>
      <c r="I1573" s="7" t="str">
        <f t="array" ref="I1573">IF(ISBLANK(F1573), "", INDEX(Categories!$B:$B,MATCH(F1573,Categories!$A:$A,0)))</f>
        <v/>
      </c>
      <c r="J1573" s="4"/>
      <c r="K1573" s="4"/>
      <c r="L1573" s="4"/>
      <c r="M1573" s="4"/>
      <c r="N1573" s="4"/>
      <c r="O1573" s="4"/>
      <c r="P1573" s="4"/>
      <c r="Q1573" s="4"/>
    </row>
    <row r="1574">
      <c r="A1574" s="5">
        <v>1573.0</v>
      </c>
      <c r="B1574" s="5" t="s">
        <v>2014</v>
      </c>
      <c r="C1574" s="5" t="s">
        <v>660</v>
      </c>
      <c r="D1574" s="6">
        <f>IFERROR(__xludf.DUMMYFUNCTION("SPLIT(MID(C1574,2,LEN(C1574)-2), "","")"),1260.0)</f>
        <v>1260</v>
      </c>
      <c r="E1574" s="7"/>
      <c r="F1574" s="7"/>
      <c r="G1574" s="2" t="str">
        <f t="array" ref="G1574">IF(ISBLANK(D1574), "", INDEX(Categories!$B:$B,MATCH(D1574,Categories!$A:$A,0)))</f>
        <v>Maternity Clothing Retail</v>
      </c>
      <c r="H1574" s="7" t="str">
        <f t="array" ref="H1574">IF(ISBLANK(E1574), "", INDEX(Categories!$B:$B,MATCH(E1574,Categories!$A:$A,0)))</f>
        <v/>
      </c>
      <c r="I1574" s="7" t="str">
        <f t="array" ref="I1574">IF(ISBLANK(F1574), "", INDEX(Categories!$B:$B,MATCH(F1574,Categories!$A:$A,0)))</f>
        <v/>
      </c>
      <c r="J1574" s="4"/>
      <c r="K1574" s="4"/>
      <c r="L1574" s="4"/>
      <c r="M1574" s="4"/>
      <c r="N1574" s="4"/>
      <c r="O1574" s="4"/>
      <c r="P1574" s="4"/>
      <c r="Q1574" s="4"/>
    </row>
    <row r="1575">
      <c r="A1575" s="5">
        <v>1574.0</v>
      </c>
      <c r="B1575" s="5" t="s">
        <v>2015</v>
      </c>
      <c r="C1575" s="5" t="s">
        <v>760</v>
      </c>
      <c r="D1575" s="6">
        <f>IFERROR(__xludf.DUMMYFUNCTION("SPLIT(MID(C1575,2,LEN(C1575)-2), "","")"),1246.0)</f>
        <v>1246</v>
      </c>
      <c r="E1575" s="7"/>
      <c r="F1575" s="7"/>
      <c r="G1575" s="2" t="str">
        <f t="array" ref="G1575">IF(ISBLANK(D1575), "", INDEX(Categories!$B:$B,MATCH(D1575,Categories!$A:$A,0)))</f>
        <v>Clothing</v>
      </c>
      <c r="H1575" s="7" t="str">
        <f t="array" ref="H1575">IF(ISBLANK(E1575), "", INDEX(Categories!$B:$B,MATCH(E1575,Categories!$A:$A,0)))</f>
        <v/>
      </c>
      <c r="I1575" s="7" t="str">
        <f t="array" ref="I1575">IF(ISBLANK(F1575), "", INDEX(Categories!$B:$B,MATCH(F1575,Categories!$A:$A,0)))</f>
        <v/>
      </c>
      <c r="J1575" s="4"/>
      <c r="K1575" s="4"/>
      <c r="L1575" s="4"/>
      <c r="M1575" s="4"/>
      <c r="N1575" s="4"/>
      <c r="O1575" s="4"/>
      <c r="P1575" s="4"/>
      <c r="Q1575" s="4"/>
    </row>
    <row r="1576">
      <c r="A1576" s="5">
        <v>1575.0</v>
      </c>
      <c r="B1576" s="5" t="s">
        <v>2016</v>
      </c>
      <c r="C1576" s="5" t="s">
        <v>1480</v>
      </c>
      <c r="D1576" s="6">
        <f>IFERROR(__xludf.DUMMYFUNCTION("SPLIT(MID(C1576,2,LEN(C1576)-2), "","")"),328.0)</f>
        <v>328</v>
      </c>
      <c r="E1576" s="7"/>
      <c r="F1576" s="7"/>
      <c r="G1576" s="2" t="str">
        <f t="array" ref="G1576">IF(ISBLANK(D1576), "", INDEX(Categories!$B:$B,MATCH(D1576,Categories!$A:$A,0)))</f>
        <v>Golf Equipment &amp; Supplies</v>
      </c>
      <c r="H1576" s="7" t="str">
        <f t="array" ref="H1576">IF(ISBLANK(E1576), "", INDEX(Categories!$B:$B,MATCH(E1576,Categories!$A:$A,0)))</f>
        <v/>
      </c>
      <c r="I1576" s="7" t="str">
        <f t="array" ref="I1576">IF(ISBLANK(F1576), "", INDEX(Categories!$B:$B,MATCH(F1576,Categories!$A:$A,0)))</f>
        <v/>
      </c>
      <c r="J1576" s="4"/>
      <c r="K1576" s="4"/>
      <c r="L1576" s="4"/>
      <c r="M1576" s="4"/>
      <c r="N1576" s="4"/>
      <c r="O1576" s="4"/>
      <c r="P1576" s="4"/>
      <c r="Q1576" s="4"/>
    </row>
    <row r="1577">
      <c r="A1577" s="5">
        <v>1576.0</v>
      </c>
      <c r="B1577" s="5" t="s">
        <v>2017</v>
      </c>
      <c r="C1577" s="5" t="s">
        <v>1954</v>
      </c>
      <c r="D1577" s="6">
        <f>IFERROR(__xludf.DUMMYFUNCTION("SPLIT(MID(C1577,2,LEN(C1577)-2), "","")"),1265.0)</f>
        <v>1265</v>
      </c>
      <c r="E1577" s="7"/>
      <c r="F1577" s="7"/>
      <c r="G1577" s="2" t="str">
        <f t="array" ref="G1577">IF(ISBLANK(D1577), "", INDEX(Categories!$B:$B,MATCH(D1577,Categories!$A:$A,0)))</f>
        <v>Sportswear Retail</v>
      </c>
      <c r="H1577" s="7" t="str">
        <f t="array" ref="H1577">IF(ISBLANK(E1577), "", INDEX(Categories!$B:$B,MATCH(E1577,Categories!$A:$A,0)))</f>
        <v/>
      </c>
      <c r="I1577" s="7" t="str">
        <f t="array" ref="I1577">IF(ISBLANK(F1577), "", INDEX(Categories!$B:$B,MATCH(F1577,Categories!$A:$A,0)))</f>
        <v/>
      </c>
      <c r="J1577" s="4"/>
      <c r="K1577" s="4"/>
      <c r="L1577" s="4"/>
      <c r="M1577" s="4"/>
      <c r="N1577" s="4"/>
      <c r="O1577" s="4"/>
      <c r="P1577" s="4"/>
      <c r="Q1577" s="4"/>
    </row>
    <row r="1578">
      <c r="A1578" s="5">
        <v>1577.0</v>
      </c>
      <c r="B1578" s="5" t="s">
        <v>2018</v>
      </c>
      <c r="C1578" s="5" t="s">
        <v>200</v>
      </c>
      <c r="D1578" s="6">
        <f>IFERROR(__xludf.DUMMYFUNCTION("SPLIT(MID(C1578,2,LEN(C1578)-2), "","")"),316.0)</f>
        <v>316</v>
      </c>
      <c r="E1578" s="7"/>
      <c r="F1578" s="7"/>
      <c r="G1578" s="2" t="str">
        <f t="array" ref="G1578">IF(ISBLANK(D1578), "", INDEX(Categories!$B:$B,MATCH(D1578,Categories!$A:$A,0)))</f>
        <v>Sporting Goods</v>
      </c>
      <c r="H1578" s="7" t="str">
        <f t="array" ref="H1578">IF(ISBLANK(E1578), "", INDEX(Categories!$B:$B,MATCH(E1578,Categories!$A:$A,0)))</f>
        <v/>
      </c>
      <c r="I1578" s="7" t="str">
        <f t="array" ref="I1578">IF(ISBLANK(F1578), "", INDEX(Categories!$B:$B,MATCH(F1578,Categories!$A:$A,0)))</f>
        <v/>
      </c>
      <c r="J1578" s="4"/>
      <c r="K1578" s="4"/>
      <c r="L1578" s="4"/>
      <c r="M1578" s="4"/>
      <c r="N1578" s="4"/>
      <c r="O1578" s="4"/>
      <c r="P1578" s="4"/>
      <c r="Q1578" s="4"/>
    </row>
    <row r="1579">
      <c r="A1579" s="5">
        <v>1578.0</v>
      </c>
      <c r="B1579" s="5" t="s">
        <v>2019</v>
      </c>
      <c r="C1579" s="5" t="s">
        <v>47</v>
      </c>
      <c r="D1579" s="6">
        <f>IFERROR(__xludf.DUMMYFUNCTION("SPLIT(MID(C1579,2,LEN(C1579)-2), "","")"),546.0)</f>
        <v>546</v>
      </c>
      <c r="E1579" s="7"/>
      <c r="F1579" s="7"/>
      <c r="G1579" s="2" t="str">
        <f t="array" ref="G1579">IF(ISBLANK(D1579), "", INDEX(Categories!$B:$B,MATCH(D1579,Categories!$A:$A,0)))</f>
        <v>Cosmetics &amp; Perfumes Retail</v>
      </c>
      <c r="H1579" s="7" t="str">
        <f t="array" ref="H1579">IF(ISBLANK(E1579), "", INDEX(Categories!$B:$B,MATCH(E1579,Categories!$A:$A,0)))</f>
        <v/>
      </c>
      <c r="I1579" s="7" t="str">
        <f t="array" ref="I1579">IF(ISBLANK(F1579), "", INDEX(Categories!$B:$B,MATCH(F1579,Categories!$A:$A,0)))</f>
        <v/>
      </c>
      <c r="J1579" s="4"/>
      <c r="K1579" s="4"/>
      <c r="L1579" s="4"/>
      <c r="M1579" s="4"/>
      <c r="N1579" s="4"/>
      <c r="O1579" s="4"/>
      <c r="P1579" s="4"/>
      <c r="Q1579" s="4"/>
    </row>
    <row r="1580">
      <c r="A1580" s="5">
        <v>1579.0</v>
      </c>
      <c r="B1580" s="5" t="s">
        <v>2020</v>
      </c>
      <c r="C1580" s="5" t="s">
        <v>2021</v>
      </c>
      <c r="D1580" s="6">
        <f>IFERROR(__xludf.DUMMYFUNCTION("SPLIT(MID(C1580,2,LEN(C1580)-2), "","")"),2439.0)</f>
        <v>2439</v>
      </c>
      <c r="E1580" s="7"/>
      <c r="F1580" s="7"/>
      <c r="G1580" s="2" t="str">
        <f t="array" ref="G1580">IF(ISBLANK(D1580), "", INDEX(Categories!$B:$B,MATCH(D1580,Categories!$A:$A,0)))</f>
        <v>Appliance Sales</v>
      </c>
      <c r="H1580" s="7" t="str">
        <f t="array" ref="H1580">IF(ISBLANK(E1580), "", INDEX(Categories!$B:$B,MATCH(E1580,Categories!$A:$A,0)))</f>
        <v/>
      </c>
      <c r="I1580" s="7" t="str">
        <f t="array" ref="I1580">IF(ISBLANK(F1580), "", INDEX(Categories!$B:$B,MATCH(F1580,Categories!$A:$A,0)))</f>
        <v/>
      </c>
      <c r="J1580" s="4"/>
      <c r="K1580" s="4"/>
      <c r="L1580" s="4"/>
      <c r="M1580" s="4"/>
      <c r="N1580" s="4"/>
      <c r="O1580" s="4"/>
      <c r="P1580" s="4"/>
      <c r="Q1580" s="4"/>
    </row>
    <row r="1581">
      <c r="A1581" s="5">
        <v>1580.0</v>
      </c>
      <c r="B1581" s="5" t="s">
        <v>2022</v>
      </c>
      <c r="C1581" s="5" t="s">
        <v>303</v>
      </c>
      <c r="D1581" s="6">
        <f>IFERROR(__xludf.DUMMYFUNCTION("SPLIT(MID(C1581,2,LEN(C1581)-2), "","")"),1241.0)</f>
        <v>1241</v>
      </c>
      <c r="E1581" s="7"/>
      <c r="F1581" s="7"/>
      <c r="G1581" s="2" t="str">
        <f t="array" ref="G1581">IF(ISBLANK(D1581), "", INDEX(Categories!$B:$B,MATCH(D1581,Categories!$A:$A,0)))</f>
        <v>Clothing &amp; Accessories</v>
      </c>
      <c r="H1581" s="7" t="str">
        <f t="array" ref="H1581">IF(ISBLANK(E1581), "", INDEX(Categories!$B:$B,MATCH(E1581,Categories!$A:$A,0)))</f>
        <v/>
      </c>
      <c r="I1581" s="7" t="str">
        <f t="array" ref="I1581">IF(ISBLANK(F1581), "", INDEX(Categories!$B:$B,MATCH(F1581,Categories!$A:$A,0)))</f>
        <v/>
      </c>
      <c r="J1581" s="4"/>
      <c r="K1581" s="4"/>
      <c r="L1581" s="4"/>
      <c r="M1581" s="4"/>
      <c r="N1581" s="4"/>
      <c r="O1581" s="4"/>
      <c r="P1581" s="4"/>
      <c r="Q1581" s="4"/>
    </row>
    <row r="1582">
      <c r="A1582" s="5">
        <v>1581.0</v>
      </c>
      <c r="B1582" s="5" t="s">
        <v>2023</v>
      </c>
      <c r="C1582" s="5" t="s">
        <v>1966</v>
      </c>
      <c r="D1582" s="6">
        <f>IFERROR(__xludf.DUMMYFUNCTION("SPLIT(MID(C1582,2,LEN(C1582)-2), "","")"),1704.0)</f>
        <v>1704</v>
      </c>
      <c r="E1582" s="7"/>
      <c r="F1582" s="7"/>
      <c r="G1582" s="2" t="str">
        <f t="array" ref="G1582">IF(ISBLANK(D1582), "", INDEX(Categories!$B:$B,MATCH(D1582,Categories!$A:$A,0)))</f>
        <v>Kitchen Accessories</v>
      </c>
      <c r="H1582" s="7" t="str">
        <f t="array" ref="H1582">IF(ISBLANK(E1582), "", INDEX(Categories!$B:$B,MATCH(E1582,Categories!$A:$A,0)))</f>
        <v/>
      </c>
      <c r="I1582" s="7" t="str">
        <f t="array" ref="I1582">IF(ISBLANK(F1582), "", INDEX(Categories!$B:$B,MATCH(F1582,Categories!$A:$A,0)))</f>
        <v/>
      </c>
      <c r="J1582" s="4"/>
      <c r="K1582" s="4"/>
      <c r="L1582" s="4"/>
      <c r="M1582" s="4"/>
      <c r="N1582" s="4"/>
      <c r="O1582" s="4"/>
      <c r="P1582" s="4"/>
      <c r="Q1582" s="4"/>
    </row>
    <row r="1583">
      <c r="A1583" s="5">
        <v>1582.0</v>
      </c>
      <c r="B1583" s="5" t="s">
        <v>2024</v>
      </c>
      <c r="C1583" s="5" t="s">
        <v>1081</v>
      </c>
      <c r="D1583" s="6">
        <f>IFERROR(__xludf.DUMMYFUNCTION("SPLIT(MID(C1583,2,LEN(C1583)-2), "","")"),18.0)</f>
        <v>18</v>
      </c>
      <c r="E1583" s="7"/>
      <c r="F1583" s="7"/>
      <c r="G1583" s="2" t="str">
        <f t="array" ref="G1583">IF(ISBLANK(D1583), "", INDEX(Categories!$B:$B,MATCH(D1583,Categories!$A:$A,0)))</f>
        <v>Furniture</v>
      </c>
      <c r="H1583" s="7" t="str">
        <f t="array" ref="H1583">IF(ISBLANK(E1583), "", INDEX(Categories!$B:$B,MATCH(E1583,Categories!$A:$A,0)))</f>
        <v/>
      </c>
      <c r="I1583" s="7" t="str">
        <f t="array" ref="I1583">IF(ISBLANK(F1583), "", INDEX(Categories!$B:$B,MATCH(F1583,Categories!$A:$A,0)))</f>
        <v/>
      </c>
      <c r="J1583" s="4"/>
      <c r="K1583" s="4"/>
      <c r="L1583" s="4"/>
      <c r="M1583" s="4"/>
      <c r="N1583" s="4"/>
      <c r="O1583" s="4"/>
      <c r="P1583" s="4"/>
      <c r="Q1583" s="4"/>
    </row>
    <row r="1584">
      <c r="A1584" s="5">
        <v>1583.0</v>
      </c>
      <c r="B1584" s="5" t="s">
        <v>2025</v>
      </c>
      <c r="C1584" s="5" t="s">
        <v>371</v>
      </c>
      <c r="D1584" s="6">
        <f>IFERROR(__xludf.DUMMYFUNCTION("SPLIT(MID(C1584,2,LEN(C1584)-2), "","")"),37.0)</f>
        <v>37</v>
      </c>
      <c r="E1584" s="7"/>
      <c r="F1584" s="7"/>
      <c r="G1584" s="2" t="str">
        <f t="array" ref="G1584">IF(ISBLANK(D1584), "", INDEX(Categories!$B:$B,MATCH(D1584,Categories!$A:$A,0)))</f>
        <v>Home Furnishings</v>
      </c>
      <c r="H1584" s="7" t="str">
        <f t="array" ref="H1584">IF(ISBLANK(E1584), "", INDEX(Categories!$B:$B,MATCH(E1584,Categories!$A:$A,0)))</f>
        <v/>
      </c>
      <c r="I1584" s="7" t="str">
        <f t="array" ref="I1584">IF(ISBLANK(F1584), "", INDEX(Categories!$B:$B,MATCH(F1584,Categories!$A:$A,0)))</f>
        <v/>
      </c>
      <c r="J1584" s="4"/>
      <c r="K1584" s="4"/>
      <c r="L1584" s="4"/>
      <c r="M1584" s="4"/>
      <c r="N1584" s="4"/>
      <c r="O1584" s="4"/>
      <c r="P1584" s="4"/>
      <c r="Q1584" s="4"/>
    </row>
    <row r="1585">
      <c r="A1585" s="5">
        <v>1584.0</v>
      </c>
      <c r="B1585" s="5" t="s">
        <v>2026</v>
      </c>
      <c r="C1585" s="5" t="s">
        <v>115</v>
      </c>
      <c r="D1585" s="6">
        <f>IFERROR(__xludf.DUMMYFUNCTION("SPLIT(MID(C1585,2,LEN(C1585)-2), "","")"),1272.0)</f>
        <v>1272</v>
      </c>
      <c r="E1585" s="7"/>
      <c r="F1585" s="7"/>
      <c r="G1585" s="2" t="str">
        <f t="array" ref="G1585">IF(ISBLANK(D1585), "", INDEX(Categories!$B:$B,MATCH(D1585,Categories!$A:$A,0)))</f>
        <v>Womens Apparel</v>
      </c>
      <c r="H1585" s="7" t="str">
        <f t="array" ref="H1585">IF(ISBLANK(E1585), "", INDEX(Categories!$B:$B,MATCH(E1585,Categories!$A:$A,0)))</f>
        <v/>
      </c>
      <c r="I1585" s="7" t="str">
        <f t="array" ref="I1585">IF(ISBLANK(F1585), "", INDEX(Categories!$B:$B,MATCH(F1585,Categories!$A:$A,0)))</f>
        <v/>
      </c>
      <c r="J1585" s="4"/>
      <c r="K1585" s="4"/>
      <c r="L1585" s="4"/>
      <c r="M1585" s="4"/>
      <c r="N1585" s="4"/>
      <c r="O1585" s="4"/>
      <c r="P1585" s="4"/>
      <c r="Q1585" s="4"/>
    </row>
    <row r="1586">
      <c r="A1586" s="5">
        <v>1585.0</v>
      </c>
      <c r="B1586" s="5" t="s">
        <v>2027</v>
      </c>
      <c r="C1586" s="5" t="s">
        <v>109</v>
      </c>
      <c r="D1586" s="6">
        <f>IFERROR(__xludf.DUMMYFUNCTION("SPLIT(MID(C1586,2,LEN(C1586)-2), "","")"),741.0)</f>
        <v>741</v>
      </c>
      <c r="E1586" s="7"/>
      <c r="F1586" s="7"/>
      <c r="G1586" s="2" t="str">
        <f t="array" ref="G1586">IF(ISBLANK(D1586), "", INDEX(Categories!$B:$B,MATCH(D1586,Categories!$A:$A,0)))</f>
        <v>Shoes</v>
      </c>
      <c r="H1586" s="7" t="str">
        <f t="array" ref="H1586">IF(ISBLANK(E1586), "", INDEX(Categories!$B:$B,MATCH(E1586,Categories!$A:$A,0)))</f>
        <v/>
      </c>
      <c r="I1586" s="7" t="str">
        <f t="array" ref="I1586">IF(ISBLANK(F1586), "", INDEX(Categories!$B:$B,MATCH(F1586,Categories!$A:$A,0)))</f>
        <v/>
      </c>
      <c r="J1586" s="4"/>
      <c r="K1586" s="4"/>
      <c r="L1586" s="4"/>
      <c r="M1586" s="4"/>
      <c r="N1586" s="4"/>
      <c r="O1586" s="4"/>
      <c r="P1586" s="4"/>
      <c r="Q1586" s="4"/>
    </row>
    <row r="1587">
      <c r="A1587" s="5">
        <v>1586.0</v>
      </c>
      <c r="B1587" s="5" t="s">
        <v>2028</v>
      </c>
      <c r="C1587" s="5" t="s">
        <v>274</v>
      </c>
      <c r="D1587" s="6">
        <f>IFERROR(__xludf.DUMMYFUNCTION("SPLIT(MID(C1587,2,LEN(C1587)-2), "","")"),619.0)</f>
        <v>619</v>
      </c>
      <c r="E1587" s="7"/>
      <c r="F1587" s="7"/>
      <c r="G1587" s="2" t="str">
        <f t="array" ref="G1587">IF(ISBLANK(D1587), "", INDEX(Categories!$B:$B,MATCH(D1587,Categories!$A:$A,0)))</f>
        <v>Jewelry</v>
      </c>
      <c r="H1587" s="7" t="str">
        <f t="array" ref="H1587">IF(ISBLANK(E1587), "", INDEX(Categories!$B:$B,MATCH(E1587,Categories!$A:$A,0)))</f>
        <v/>
      </c>
      <c r="I1587" s="7" t="str">
        <f t="array" ref="I1587">IF(ISBLANK(F1587), "", INDEX(Categories!$B:$B,MATCH(F1587,Categories!$A:$A,0)))</f>
        <v/>
      </c>
      <c r="J1587" s="4"/>
      <c r="K1587" s="4"/>
      <c r="L1587" s="4"/>
      <c r="M1587" s="4"/>
      <c r="N1587" s="4"/>
      <c r="O1587" s="4"/>
      <c r="P1587" s="4"/>
      <c r="Q1587" s="4"/>
    </row>
    <row r="1588">
      <c r="A1588" s="5">
        <v>1587.0</v>
      </c>
      <c r="B1588" s="5" t="s">
        <v>2029</v>
      </c>
      <c r="C1588" s="5" t="s">
        <v>371</v>
      </c>
      <c r="D1588" s="6">
        <f>IFERROR(__xludf.DUMMYFUNCTION("SPLIT(MID(C1588,2,LEN(C1588)-2), "","")"),37.0)</f>
        <v>37</v>
      </c>
      <c r="E1588" s="7"/>
      <c r="F1588" s="7"/>
      <c r="G1588" s="2" t="str">
        <f t="array" ref="G1588">IF(ISBLANK(D1588), "", INDEX(Categories!$B:$B,MATCH(D1588,Categories!$A:$A,0)))</f>
        <v>Home Furnishings</v>
      </c>
      <c r="H1588" s="7" t="str">
        <f t="array" ref="H1588">IF(ISBLANK(E1588), "", INDEX(Categories!$B:$B,MATCH(E1588,Categories!$A:$A,0)))</f>
        <v/>
      </c>
      <c r="I1588" s="7" t="str">
        <f t="array" ref="I1588">IF(ISBLANK(F1588), "", INDEX(Categories!$B:$B,MATCH(F1588,Categories!$A:$A,0)))</f>
        <v/>
      </c>
      <c r="J1588" s="4"/>
      <c r="K1588" s="4"/>
      <c r="L1588" s="4"/>
      <c r="M1588" s="4"/>
      <c r="N1588" s="4"/>
      <c r="O1588" s="4"/>
      <c r="P1588" s="4"/>
      <c r="Q1588" s="4"/>
    </row>
    <row r="1589">
      <c r="A1589" s="5">
        <v>1588.0</v>
      </c>
      <c r="B1589" s="5" t="s">
        <v>2030</v>
      </c>
      <c r="C1589" s="5" t="s">
        <v>274</v>
      </c>
      <c r="D1589" s="6">
        <f>IFERROR(__xludf.DUMMYFUNCTION("SPLIT(MID(C1589,2,LEN(C1589)-2), "","")"),619.0)</f>
        <v>619</v>
      </c>
      <c r="E1589" s="7"/>
      <c r="F1589" s="7"/>
      <c r="G1589" s="2" t="str">
        <f t="array" ref="G1589">IF(ISBLANK(D1589), "", INDEX(Categories!$B:$B,MATCH(D1589,Categories!$A:$A,0)))</f>
        <v>Jewelry</v>
      </c>
      <c r="H1589" s="7" t="str">
        <f t="array" ref="H1589">IF(ISBLANK(E1589), "", INDEX(Categories!$B:$B,MATCH(E1589,Categories!$A:$A,0)))</f>
        <v/>
      </c>
      <c r="I1589" s="7" t="str">
        <f t="array" ref="I1589">IF(ISBLANK(F1589), "", INDEX(Categories!$B:$B,MATCH(F1589,Categories!$A:$A,0)))</f>
        <v/>
      </c>
      <c r="J1589" s="4"/>
      <c r="K1589" s="4"/>
      <c r="L1589" s="4"/>
      <c r="M1589" s="4"/>
      <c r="N1589" s="4"/>
      <c r="O1589" s="4"/>
      <c r="P1589" s="4"/>
      <c r="Q1589" s="4"/>
    </row>
    <row r="1590">
      <c r="A1590" s="5">
        <v>1589.0</v>
      </c>
      <c r="B1590" s="5" t="s">
        <v>2031</v>
      </c>
      <c r="C1590" s="5" t="s">
        <v>109</v>
      </c>
      <c r="D1590" s="6">
        <f>IFERROR(__xludf.DUMMYFUNCTION("SPLIT(MID(C1590,2,LEN(C1590)-2), "","")"),741.0)</f>
        <v>741</v>
      </c>
      <c r="E1590" s="7"/>
      <c r="F1590" s="7"/>
      <c r="G1590" s="2" t="str">
        <f t="array" ref="G1590">IF(ISBLANK(D1590), "", INDEX(Categories!$B:$B,MATCH(D1590,Categories!$A:$A,0)))</f>
        <v>Shoes</v>
      </c>
      <c r="H1590" s="7" t="str">
        <f t="array" ref="H1590">IF(ISBLANK(E1590), "", INDEX(Categories!$B:$B,MATCH(E1590,Categories!$A:$A,0)))</f>
        <v/>
      </c>
      <c r="I1590" s="7" t="str">
        <f t="array" ref="I1590">IF(ISBLANK(F1590), "", INDEX(Categories!$B:$B,MATCH(F1590,Categories!$A:$A,0)))</f>
        <v/>
      </c>
      <c r="J1590" s="4"/>
      <c r="K1590" s="4"/>
      <c r="L1590" s="4"/>
      <c r="M1590" s="4"/>
      <c r="N1590" s="4"/>
      <c r="O1590" s="4"/>
      <c r="P1590" s="4"/>
      <c r="Q1590" s="4"/>
    </row>
    <row r="1591">
      <c r="A1591" s="5">
        <v>1590.0</v>
      </c>
      <c r="B1591" s="5" t="s">
        <v>2032</v>
      </c>
      <c r="C1591" s="5" t="s">
        <v>209</v>
      </c>
      <c r="D1591" s="6">
        <f>IFERROR(__xludf.DUMMYFUNCTION("SPLIT(MID(C1591,2,LEN(C1591)-2), "","")"),1945.0)</f>
        <v>1945</v>
      </c>
      <c r="E1591" s="7"/>
      <c r="F1591" s="7"/>
      <c r="G1591" s="2" t="str">
        <f t="array" ref="G1591">IF(ISBLANK(D1591), "", INDEX(Categories!$B:$B,MATCH(D1591,Categories!$A:$A,0)))</f>
        <v>Electronic Equipment &amp; Supplies</v>
      </c>
      <c r="H1591" s="7" t="str">
        <f t="array" ref="H1591">IF(ISBLANK(E1591), "", INDEX(Categories!$B:$B,MATCH(E1591,Categories!$A:$A,0)))</f>
        <v/>
      </c>
      <c r="I1591" s="7" t="str">
        <f t="array" ref="I1591">IF(ISBLANK(F1591), "", INDEX(Categories!$B:$B,MATCH(F1591,Categories!$A:$A,0)))</f>
        <v/>
      </c>
      <c r="J1591" s="4"/>
      <c r="K1591" s="4"/>
      <c r="L1591" s="4"/>
      <c r="M1591" s="4"/>
      <c r="N1591" s="4"/>
      <c r="O1591" s="4"/>
      <c r="P1591" s="4"/>
      <c r="Q1591" s="4"/>
    </row>
    <row r="1592">
      <c r="A1592" s="5">
        <v>1591.0</v>
      </c>
      <c r="B1592" s="5" t="s">
        <v>2033</v>
      </c>
      <c r="C1592" s="5" t="s">
        <v>200</v>
      </c>
      <c r="D1592" s="6">
        <f>IFERROR(__xludf.DUMMYFUNCTION("SPLIT(MID(C1592,2,LEN(C1592)-2), "","")"),316.0)</f>
        <v>316</v>
      </c>
      <c r="E1592" s="7"/>
      <c r="F1592" s="7"/>
      <c r="G1592" s="2" t="str">
        <f t="array" ref="G1592">IF(ISBLANK(D1592), "", INDEX(Categories!$B:$B,MATCH(D1592,Categories!$A:$A,0)))</f>
        <v>Sporting Goods</v>
      </c>
      <c r="H1592" s="7" t="str">
        <f t="array" ref="H1592">IF(ISBLANK(E1592), "", INDEX(Categories!$B:$B,MATCH(E1592,Categories!$A:$A,0)))</f>
        <v/>
      </c>
      <c r="I1592" s="7" t="str">
        <f t="array" ref="I1592">IF(ISBLANK(F1592), "", INDEX(Categories!$B:$B,MATCH(F1592,Categories!$A:$A,0)))</f>
        <v/>
      </c>
      <c r="J1592" s="4"/>
      <c r="K1592" s="4"/>
      <c r="L1592" s="4"/>
      <c r="M1592" s="4"/>
      <c r="N1592" s="4"/>
      <c r="O1592" s="4"/>
      <c r="P1592" s="4"/>
      <c r="Q1592" s="4"/>
    </row>
    <row r="1593">
      <c r="A1593" s="5">
        <v>1592.0</v>
      </c>
      <c r="B1593" s="5" t="s">
        <v>2034</v>
      </c>
      <c r="C1593" s="5" t="s">
        <v>626</v>
      </c>
      <c r="D1593" s="6">
        <f>IFERROR(__xludf.DUMMYFUNCTION("SPLIT(MID(C1593,2,LEN(C1593)-2), "","")"),1247.0)</f>
        <v>1247</v>
      </c>
      <c r="E1593" s="7"/>
      <c r="F1593" s="7"/>
      <c r="G1593" s="2" t="str">
        <f t="array" ref="G1593">IF(ISBLANK(D1593), "", INDEX(Categories!$B:$B,MATCH(D1593,Categories!$A:$A,0)))</f>
        <v>Clothing Children &amp; Infant</v>
      </c>
      <c r="H1593" s="7" t="str">
        <f t="array" ref="H1593">IF(ISBLANK(E1593), "", INDEX(Categories!$B:$B,MATCH(E1593,Categories!$A:$A,0)))</f>
        <v/>
      </c>
      <c r="I1593" s="7" t="str">
        <f t="array" ref="I1593">IF(ISBLANK(F1593), "", INDEX(Categories!$B:$B,MATCH(F1593,Categories!$A:$A,0)))</f>
        <v/>
      </c>
      <c r="J1593" s="4"/>
      <c r="K1593" s="4"/>
      <c r="L1593" s="4"/>
      <c r="M1593" s="4"/>
      <c r="N1593" s="4"/>
      <c r="O1593" s="4"/>
      <c r="P1593" s="4"/>
      <c r="Q1593" s="4"/>
    </row>
    <row r="1594">
      <c r="A1594" s="5">
        <v>1593.0</v>
      </c>
      <c r="B1594" s="5" t="s">
        <v>2035</v>
      </c>
      <c r="C1594" s="5" t="s">
        <v>2036</v>
      </c>
      <c r="D1594" s="6">
        <f>IFERROR(__xludf.DUMMYFUNCTION("SPLIT(MID(C1594,2,LEN(C1594)-2), "","")"),2696.0)</f>
        <v>2696</v>
      </c>
      <c r="E1594" s="7"/>
      <c r="F1594" s="7"/>
      <c r="G1594" s="2" t="str">
        <f t="array" ref="G1594">IF(ISBLANK(D1594), "", INDEX(Categories!$B:$B,MATCH(D1594,Categories!$A:$A,0)))</f>
        <v>Closet Accessories</v>
      </c>
      <c r="H1594" s="7" t="str">
        <f t="array" ref="H1594">IF(ISBLANK(E1594), "", INDEX(Categories!$B:$B,MATCH(E1594,Categories!$A:$A,0)))</f>
        <v/>
      </c>
      <c r="I1594" s="7" t="str">
        <f t="array" ref="I1594">IF(ISBLANK(F1594), "", INDEX(Categories!$B:$B,MATCH(F1594,Categories!$A:$A,0)))</f>
        <v/>
      </c>
      <c r="J1594" s="4"/>
      <c r="K1594" s="4"/>
      <c r="L1594" s="4"/>
      <c r="M1594" s="4"/>
      <c r="N1594" s="4"/>
      <c r="O1594" s="4"/>
      <c r="P1594" s="4"/>
      <c r="Q1594" s="4"/>
    </row>
    <row r="1595">
      <c r="A1595" s="5">
        <v>1594.0</v>
      </c>
      <c r="B1595" s="5" t="s">
        <v>2037</v>
      </c>
      <c r="C1595" s="5" t="s">
        <v>303</v>
      </c>
      <c r="D1595" s="6">
        <f>IFERROR(__xludf.DUMMYFUNCTION("SPLIT(MID(C1595,2,LEN(C1595)-2), "","")"),1241.0)</f>
        <v>1241</v>
      </c>
      <c r="E1595" s="7"/>
      <c r="F1595" s="7"/>
      <c r="G1595" s="2" t="str">
        <f t="array" ref="G1595">IF(ISBLANK(D1595), "", INDEX(Categories!$B:$B,MATCH(D1595,Categories!$A:$A,0)))</f>
        <v>Clothing &amp; Accessories</v>
      </c>
      <c r="H1595" s="7" t="str">
        <f t="array" ref="H1595">IF(ISBLANK(E1595), "", INDEX(Categories!$B:$B,MATCH(E1595,Categories!$A:$A,0)))</f>
        <v/>
      </c>
      <c r="I1595" s="7" t="str">
        <f t="array" ref="I1595">IF(ISBLANK(F1595), "", INDEX(Categories!$B:$B,MATCH(F1595,Categories!$A:$A,0)))</f>
        <v/>
      </c>
      <c r="J1595" s="4"/>
      <c r="K1595" s="4"/>
      <c r="L1595" s="4"/>
      <c r="M1595" s="4"/>
      <c r="N1595" s="4"/>
      <c r="O1595" s="4"/>
      <c r="P1595" s="4"/>
      <c r="Q1595" s="4"/>
    </row>
    <row r="1596">
      <c r="A1596" s="5">
        <v>1595.0</v>
      </c>
      <c r="B1596" s="5" t="s">
        <v>2038</v>
      </c>
      <c r="C1596" s="5" t="s">
        <v>200</v>
      </c>
      <c r="D1596" s="6">
        <f>IFERROR(__xludf.DUMMYFUNCTION("SPLIT(MID(C1596,2,LEN(C1596)-2), "","")"),316.0)</f>
        <v>316</v>
      </c>
      <c r="E1596" s="7"/>
      <c r="F1596" s="7"/>
      <c r="G1596" s="2" t="str">
        <f t="array" ref="G1596">IF(ISBLANK(D1596), "", INDEX(Categories!$B:$B,MATCH(D1596,Categories!$A:$A,0)))</f>
        <v>Sporting Goods</v>
      </c>
      <c r="H1596" s="7" t="str">
        <f t="array" ref="H1596">IF(ISBLANK(E1596), "", INDEX(Categories!$B:$B,MATCH(E1596,Categories!$A:$A,0)))</f>
        <v/>
      </c>
      <c r="I1596" s="7" t="str">
        <f t="array" ref="I1596">IF(ISBLANK(F1596), "", INDEX(Categories!$B:$B,MATCH(F1596,Categories!$A:$A,0)))</f>
        <v/>
      </c>
      <c r="J1596" s="4"/>
      <c r="K1596" s="4"/>
      <c r="L1596" s="4"/>
      <c r="M1596" s="4"/>
      <c r="N1596" s="4"/>
      <c r="O1596" s="4"/>
      <c r="P1596" s="4"/>
      <c r="Q1596" s="4"/>
    </row>
    <row r="1597">
      <c r="A1597" s="5">
        <v>1596.0</v>
      </c>
      <c r="B1597" s="5" t="s">
        <v>2039</v>
      </c>
      <c r="C1597" s="5" t="s">
        <v>303</v>
      </c>
      <c r="D1597" s="6">
        <f>IFERROR(__xludf.DUMMYFUNCTION("SPLIT(MID(C1597,2,LEN(C1597)-2), "","")"),1241.0)</f>
        <v>1241</v>
      </c>
      <c r="E1597" s="7"/>
      <c r="F1597" s="7"/>
      <c r="G1597" s="2" t="str">
        <f t="array" ref="G1597">IF(ISBLANK(D1597), "", INDEX(Categories!$B:$B,MATCH(D1597,Categories!$A:$A,0)))</f>
        <v>Clothing &amp; Accessories</v>
      </c>
      <c r="H1597" s="7" t="str">
        <f t="array" ref="H1597">IF(ISBLANK(E1597), "", INDEX(Categories!$B:$B,MATCH(E1597,Categories!$A:$A,0)))</f>
        <v/>
      </c>
      <c r="I1597" s="7" t="str">
        <f t="array" ref="I1597">IF(ISBLANK(F1597), "", INDEX(Categories!$B:$B,MATCH(F1597,Categories!$A:$A,0)))</f>
        <v/>
      </c>
      <c r="J1597" s="4"/>
      <c r="K1597" s="4"/>
      <c r="L1597" s="4"/>
      <c r="M1597" s="4"/>
      <c r="N1597" s="4"/>
      <c r="O1597" s="4"/>
      <c r="P1597" s="4"/>
      <c r="Q1597" s="4"/>
    </row>
    <row r="1598">
      <c r="A1598" s="5">
        <v>1597.0</v>
      </c>
      <c r="B1598" s="5" t="s">
        <v>2040</v>
      </c>
      <c r="C1598" s="5" t="s">
        <v>760</v>
      </c>
      <c r="D1598" s="6">
        <f>IFERROR(__xludf.DUMMYFUNCTION("SPLIT(MID(C1598,2,LEN(C1598)-2), "","")"),1246.0)</f>
        <v>1246</v>
      </c>
      <c r="E1598" s="7"/>
      <c r="F1598" s="7"/>
      <c r="G1598" s="2" t="str">
        <f t="array" ref="G1598">IF(ISBLANK(D1598), "", INDEX(Categories!$B:$B,MATCH(D1598,Categories!$A:$A,0)))</f>
        <v>Clothing</v>
      </c>
      <c r="H1598" s="7" t="str">
        <f t="array" ref="H1598">IF(ISBLANK(E1598), "", INDEX(Categories!$B:$B,MATCH(E1598,Categories!$A:$A,0)))</f>
        <v/>
      </c>
      <c r="I1598" s="7" t="str">
        <f t="array" ref="I1598">IF(ISBLANK(F1598), "", INDEX(Categories!$B:$B,MATCH(F1598,Categories!$A:$A,0)))</f>
        <v/>
      </c>
      <c r="J1598" s="4"/>
      <c r="K1598" s="4"/>
      <c r="L1598" s="4"/>
      <c r="M1598" s="4"/>
      <c r="N1598" s="4"/>
      <c r="O1598" s="4"/>
      <c r="P1598" s="4"/>
      <c r="Q1598" s="4"/>
    </row>
    <row r="1599">
      <c r="A1599" s="5">
        <v>1598.0</v>
      </c>
      <c r="B1599" s="5" t="s">
        <v>2041</v>
      </c>
      <c r="C1599" s="5" t="s">
        <v>2042</v>
      </c>
      <c r="D1599" s="6">
        <f>IFERROR(__xludf.DUMMYFUNCTION("SPLIT(MID(C1599,2,LEN(C1599)-2), "","")"),1251.0)</f>
        <v>1251</v>
      </c>
      <c r="E1599" s="7"/>
      <c r="F1599" s="7"/>
      <c r="G1599" s="2" t="str">
        <f t="array" ref="G1599">IF(ISBLANK(D1599), "", INDEX(Categories!$B:$B,MATCH(D1599,Categories!$A:$A,0)))</f>
        <v>Handbags</v>
      </c>
      <c r="H1599" s="7" t="str">
        <f t="array" ref="H1599">IF(ISBLANK(E1599), "", INDEX(Categories!$B:$B,MATCH(E1599,Categories!$A:$A,0)))</f>
        <v/>
      </c>
      <c r="I1599" s="7" t="str">
        <f t="array" ref="I1599">IF(ISBLANK(F1599), "", INDEX(Categories!$B:$B,MATCH(F1599,Categories!$A:$A,0)))</f>
        <v/>
      </c>
      <c r="J1599" s="4"/>
      <c r="K1599" s="4"/>
      <c r="L1599" s="4"/>
      <c r="M1599" s="4"/>
      <c r="N1599" s="4"/>
      <c r="O1599" s="4"/>
      <c r="P1599" s="4"/>
      <c r="Q1599" s="4"/>
    </row>
    <row r="1600">
      <c r="A1600" s="5">
        <v>1599.0</v>
      </c>
      <c r="B1600" s="5" t="s">
        <v>2043</v>
      </c>
      <c r="C1600" s="5" t="s">
        <v>109</v>
      </c>
      <c r="D1600" s="6">
        <f>IFERROR(__xludf.DUMMYFUNCTION("SPLIT(MID(C1600,2,LEN(C1600)-2), "","")"),741.0)</f>
        <v>741</v>
      </c>
      <c r="E1600" s="7"/>
      <c r="F1600" s="7"/>
      <c r="G1600" s="2" t="str">
        <f t="array" ref="G1600">IF(ISBLANK(D1600), "", INDEX(Categories!$B:$B,MATCH(D1600,Categories!$A:$A,0)))</f>
        <v>Shoes</v>
      </c>
      <c r="H1600" s="7" t="str">
        <f t="array" ref="H1600">IF(ISBLANK(E1600), "", INDEX(Categories!$B:$B,MATCH(E1600,Categories!$A:$A,0)))</f>
        <v/>
      </c>
      <c r="I1600" s="7" t="str">
        <f t="array" ref="I1600">IF(ISBLANK(F1600), "", INDEX(Categories!$B:$B,MATCH(F1600,Categories!$A:$A,0)))</f>
        <v/>
      </c>
      <c r="J1600" s="4"/>
      <c r="K1600" s="4"/>
      <c r="L1600" s="4"/>
      <c r="M1600" s="4"/>
      <c r="N1600" s="4"/>
      <c r="O1600" s="4"/>
      <c r="P1600" s="4"/>
      <c r="Q1600" s="4"/>
    </row>
    <row r="1601">
      <c r="A1601" s="5">
        <v>1600.0</v>
      </c>
      <c r="B1601" s="5" t="s">
        <v>2044</v>
      </c>
      <c r="C1601" s="5" t="s">
        <v>303</v>
      </c>
      <c r="D1601" s="6">
        <f>IFERROR(__xludf.DUMMYFUNCTION("SPLIT(MID(C1601,2,LEN(C1601)-2), "","")"),1241.0)</f>
        <v>1241</v>
      </c>
      <c r="E1601" s="7"/>
      <c r="F1601" s="7"/>
      <c r="G1601" s="2" t="str">
        <f t="array" ref="G1601">IF(ISBLANK(D1601), "", INDEX(Categories!$B:$B,MATCH(D1601,Categories!$A:$A,0)))</f>
        <v>Clothing &amp; Accessories</v>
      </c>
      <c r="H1601" s="7" t="str">
        <f t="array" ref="H1601">IF(ISBLANK(E1601), "", INDEX(Categories!$B:$B,MATCH(E1601,Categories!$A:$A,0)))</f>
        <v/>
      </c>
      <c r="I1601" s="7" t="str">
        <f t="array" ref="I1601">IF(ISBLANK(F1601), "", INDEX(Categories!$B:$B,MATCH(F1601,Categories!$A:$A,0)))</f>
        <v/>
      </c>
      <c r="J1601" s="4"/>
      <c r="K1601" s="4"/>
      <c r="L1601" s="4"/>
      <c r="M1601" s="4"/>
      <c r="N1601" s="4"/>
      <c r="O1601" s="4"/>
      <c r="P1601" s="4"/>
      <c r="Q1601" s="4"/>
    </row>
    <row r="1602">
      <c r="A1602" s="5">
        <v>1601.0</v>
      </c>
      <c r="B1602" s="5" t="s">
        <v>2045</v>
      </c>
      <c r="C1602" s="5" t="s">
        <v>303</v>
      </c>
      <c r="D1602" s="6">
        <f>IFERROR(__xludf.DUMMYFUNCTION("SPLIT(MID(C1602,2,LEN(C1602)-2), "","")"),1241.0)</f>
        <v>1241</v>
      </c>
      <c r="E1602" s="7"/>
      <c r="F1602" s="7"/>
      <c r="G1602" s="2" t="str">
        <f t="array" ref="G1602">IF(ISBLANK(D1602), "", INDEX(Categories!$B:$B,MATCH(D1602,Categories!$A:$A,0)))</f>
        <v>Clothing &amp; Accessories</v>
      </c>
      <c r="H1602" s="7" t="str">
        <f t="array" ref="H1602">IF(ISBLANK(E1602), "", INDEX(Categories!$B:$B,MATCH(E1602,Categories!$A:$A,0)))</f>
        <v/>
      </c>
      <c r="I1602" s="7" t="str">
        <f t="array" ref="I1602">IF(ISBLANK(F1602), "", INDEX(Categories!$B:$B,MATCH(F1602,Categories!$A:$A,0)))</f>
        <v/>
      </c>
      <c r="J1602" s="4"/>
      <c r="K1602" s="4"/>
      <c r="L1602" s="4"/>
      <c r="M1602" s="4"/>
      <c r="N1602" s="4"/>
      <c r="O1602" s="4"/>
      <c r="P1602" s="4"/>
      <c r="Q1602" s="4"/>
    </row>
    <row r="1603">
      <c r="A1603" s="5">
        <v>1602.0</v>
      </c>
      <c r="B1603" s="5" t="s">
        <v>2046</v>
      </c>
      <c r="C1603" s="5" t="s">
        <v>139</v>
      </c>
      <c r="D1603" s="6">
        <f>IFERROR(__xludf.DUMMYFUNCTION("SPLIT(MID(C1603,2,LEN(C1603)-2), "","")"),1617.0)</f>
        <v>1617</v>
      </c>
      <c r="E1603" s="7"/>
      <c r="F1603" s="7"/>
      <c r="G1603" s="2" t="str">
        <f t="array" ref="G1603">IF(ISBLANK(D1603), "", INDEX(Categories!$B:$B,MATCH(D1603,Categories!$A:$A,0)))</f>
        <v>Department Stores</v>
      </c>
      <c r="H1603" s="7" t="str">
        <f t="array" ref="H1603">IF(ISBLANK(E1603), "", INDEX(Categories!$B:$B,MATCH(E1603,Categories!$A:$A,0)))</f>
        <v/>
      </c>
      <c r="I1603" s="7" t="str">
        <f t="array" ref="I1603">IF(ISBLANK(F1603), "", INDEX(Categories!$B:$B,MATCH(F1603,Categories!$A:$A,0)))</f>
        <v/>
      </c>
      <c r="J1603" s="4"/>
      <c r="K1603" s="4"/>
      <c r="L1603" s="4"/>
      <c r="M1603" s="4"/>
      <c r="N1603" s="4"/>
      <c r="O1603" s="4"/>
      <c r="P1603" s="4"/>
      <c r="Q1603" s="4"/>
    </row>
    <row r="1604">
      <c r="A1604" s="5">
        <v>1603.0</v>
      </c>
      <c r="B1604" s="5" t="s">
        <v>2047</v>
      </c>
      <c r="C1604" s="5" t="s">
        <v>760</v>
      </c>
      <c r="D1604" s="6">
        <f>IFERROR(__xludf.DUMMYFUNCTION("SPLIT(MID(C1604,2,LEN(C1604)-2), "","")"),1246.0)</f>
        <v>1246</v>
      </c>
      <c r="E1604" s="7"/>
      <c r="F1604" s="7"/>
      <c r="G1604" s="2" t="str">
        <f t="array" ref="G1604">IF(ISBLANK(D1604), "", INDEX(Categories!$B:$B,MATCH(D1604,Categories!$A:$A,0)))</f>
        <v>Clothing</v>
      </c>
      <c r="H1604" s="7" t="str">
        <f t="array" ref="H1604">IF(ISBLANK(E1604), "", INDEX(Categories!$B:$B,MATCH(E1604,Categories!$A:$A,0)))</f>
        <v/>
      </c>
      <c r="I1604" s="7" t="str">
        <f t="array" ref="I1604">IF(ISBLANK(F1604), "", INDEX(Categories!$B:$B,MATCH(F1604,Categories!$A:$A,0)))</f>
        <v/>
      </c>
      <c r="J1604" s="4"/>
      <c r="K1604" s="4"/>
      <c r="L1604" s="4"/>
      <c r="M1604" s="4"/>
      <c r="N1604" s="4"/>
      <c r="O1604" s="4"/>
      <c r="P1604" s="4"/>
      <c r="Q1604" s="4"/>
    </row>
    <row r="1605">
      <c r="A1605" s="5">
        <v>1604.0</v>
      </c>
      <c r="B1605" s="5" t="s">
        <v>2048</v>
      </c>
      <c r="C1605" s="5" t="s">
        <v>2049</v>
      </c>
      <c r="D1605" s="6">
        <f>IFERROR(__xludf.DUMMYFUNCTION("SPLIT(MID(C1605,2,LEN(C1605)-2), "","")"),1250.0)</f>
        <v>1250</v>
      </c>
      <c r="E1605" s="7"/>
      <c r="F1605" s="7"/>
      <c r="G1605" s="2" t="str">
        <f t="array" ref="G1605">IF(ISBLANK(D1605), "", INDEX(Categories!$B:$B,MATCH(D1605,Categories!$A:$A,0)))</f>
        <v>Designers Apparel</v>
      </c>
      <c r="H1605" s="7" t="str">
        <f t="array" ref="H1605">IF(ISBLANK(E1605), "", INDEX(Categories!$B:$B,MATCH(E1605,Categories!$A:$A,0)))</f>
        <v/>
      </c>
      <c r="I1605" s="7" t="str">
        <f t="array" ref="I1605">IF(ISBLANK(F1605), "", INDEX(Categories!$B:$B,MATCH(F1605,Categories!$A:$A,0)))</f>
        <v/>
      </c>
      <c r="J1605" s="4"/>
      <c r="K1605" s="4"/>
      <c r="L1605" s="4"/>
      <c r="M1605" s="4"/>
      <c r="N1605" s="4"/>
      <c r="O1605" s="4"/>
      <c r="P1605" s="4"/>
      <c r="Q1605" s="4"/>
    </row>
    <row r="1606">
      <c r="A1606" s="5">
        <v>1605.0</v>
      </c>
      <c r="B1606" s="5" t="s">
        <v>2050</v>
      </c>
      <c r="C1606" s="5" t="s">
        <v>115</v>
      </c>
      <c r="D1606" s="6">
        <f>IFERROR(__xludf.DUMMYFUNCTION("SPLIT(MID(C1606,2,LEN(C1606)-2), "","")"),1272.0)</f>
        <v>1272</v>
      </c>
      <c r="E1606" s="7"/>
      <c r="F1606" s="7"/>
      <c r="G1606" s="2" t="str">
        <f t="array" ref="G1606">IF(ISBLANK(D1606), "", INDEX(Categories!$B:$B,MATCH(D1606,Categories!$A:$A,0)))</f>
        <v>Womens Apparel</v>
      </c>
      <c r="H1606" s="7" t="str">
        <f t="array" ref="H1606">IF(ISBLANK(E1606), "", INDEX(Categories!$B:$B,MATCH(E1606,Categories!$A:$A,0)))</f>
        <v/>
      </c>
      <c r="I1606" s="7" t="str">
        <f t="array" ref="I1606">IF(ISBLANK(F1606), "", INDEX(Categories!$B:$B,MATCH(F1606,Categories!$A:$A,0)))</f>
        <v/>
      </c>
      <c r="J1606" s="4"/>
      <c r="K1606" s="4"/>
      <c r="L1606" s="4"/>
      <c r="M1606" s="4"/>
      <c r="N1606" s="4"/>
      <c r="O1606" s="4"/>
      <c r="P1606" s="4"/>
      <c r="Q1606" s="4"/>
    </row>
    <row r="1607">
      <c r="A1607" s="5">
        <v>1606.0</v>
      </c>
      <c r="B1607" s="5" t="s">
        <v>2051</v>
      </c>
      <c r="C1607" s="5" t="s">
        <v>2049</v>
      </c>
      <c r="D1607" s="6">
        <f>IFERROR(__xludf.DUMMYFUNCTION("SPLIT(MID(C1607,2,LEN(C1607)-2), "","")"),1250.0)</f>
        <v>1250</v>
      </c>
      <c r="E1607" s="7"/>
      <c r="F1607" s="7"/>
      <c r="G1607" s="2" t="str">
        <f t="array" ref="G1607">IF(ISBLANK(D1607), "", INDEX(Categories!$B:$B,MATCH(D1607,Categories!$A:$A,0)))</f>
        <v>Designers Apparel</v>
      </c>
      <c r="H1607" s="7" t="str">
        <f t="array" ref="H1607">IF(ISBLANK(E1607), "", INDEX(Categories!$B:$B,MATCH(E1607,Categories!$A:$A,0)))</f>
        <v/>
      </c>
      <c r="I1607" s="7" t="str">
        <f t="array" ref="I1607">IF(ISBLANK(F1607), "", INDEX(Categories!$B:$B,MATCH(F1607,Categories!$A:$A,0)))</f>
        <v/>
      </c>
      <c r="J1607" s="4"/>
      <c r="K1607" s="4"/>
      <c r="L1607" s="4"/>
      <c r="M1607" s="4"/>
      <c r="N1607" s="4"/>
      <c r="O1607" s="4"/>
      <c r="P1607" s="4"/>
      <c r="Q1607" s="4"/>
    </row>
    <row r="1608">
      <c r="A1608" s="5">
        <v>1607.0</v>
      </c>
      <c r="B1608" s="5" t="s">
        <v>2052</v>
      </c>
      <c r="C1608" s="5" t="s">
        <v>115</v>
      </c>
      <c r="D1608" s="6">
        <f>IFERROR(__xludf.DUMMYFUNCTION("SPLIT(MID(C1608,2,LEN(C1608)-2), "","")"),1272.0)</f>
        <v>1272</v>
      </c>
      <c r="E1608" s="7"/>
      <c r="F1608" s="7"/>
      <c r="G1608" s="2" t="str">
        <f t="array" ref="G1608">IF(ISBLANK(D1608), "", INDEX(Categories!$B:$B,MATCH(D1608,Categories!$A:$A,0)))</f>
        <v>Womens Apparel</v>
      </c>
      <c r="H1608" s="7" t="str">
        <f t="array" ref="H1608">IF(ISBLANK(E1608), "", INDEX(Categories!$B:$B,MATCH(E1608,Categories!$A:$A,0)))</f>
        <v/>
      </c>
      <c r="I1608" s="7" t="str">
        <f t="array" ref="I1608">IF(ISBLANK(F1608), "", INDEX(Categories!$B:$B,MATCH(F1608,Categories!$A:$A,0)))</f>
        <v/>
      </c>
      <c r="J1608" s="4"/>
      <c r="K1608" s="4"/>
      <c r="L1608" s="4"/>
      <c r="M1608" s="4"/>
      <c r="N1608" s="4"/>
      <c r="O1608" s="4"/>
      <c r="P1608" s="4"/>
      <c r="Q1608" s="4"/>
    </row>
    <row r="1609">
      <c r="A1609" s="5">
        <v>1608.0</v>
      </c>
      <c r="B1609" s="5" t="s">
        <v>2053</v>
      </c>
      <c r="C1609" s="5" t="s">
        <v>170</v>
      </c>
      <c r="D1609" s="6">
        <f>IFERROR(__xludf.DUMMYFUNCTION("SPLIT(MID(C1609,2,LEN(C1609)-2), "","")"),189.0)</f>
        <v>189</v>
      </c>
      <c r="E1609" s="7"/>
      <c r="F1609" s="7"/>
      <c r="G1609" s="2" t="str">
        <f t="array" ref="G1609">IF(ISBLANK(D1609), "", INDEX(Categories!$B:$B,MATCH(D1609,Categories!$A:$A,0)))</f>
        <v>Pharmacies</v>
      </c>
      <c r="H1609" s="7" t="str">
        <f t="array" ref="H1609">IF(ISBLANK(E1609), "", INDEX(Categories!$B:$B,MATCH(E1609,Categories!$A:$A,0)))</f>
        <v/>
      </c>
      <c r="I1609" s="7" t="str">
        <f t="array" ref="I1609">IF(ISBLANK(F1609), "", INDEX(Categories!$B:$B,MATCH(F1609,Categories!$A:$A,0)))</f>
        <v/>
      </c>
      <c r="J1609" s="4"/>
      <c r="K1609" s="4"/>
      <c r="L1609" s="4"/>
      <c r="M1609" s="4"/>
      <c r="N1609" s="4"/>
      <c r="O1609" s="4"/>
      <c r="P1609" s="4"/>
      <c r="Q1609" s="4"/>
    </row>
    <row r="1610">
      <c r="A1610" s="5">
        <v>1609.0</v>
      </c>
      <c r="B1610" s="5" t="s">
        <v>2054</v>
      </c>
      <c r="C1610" s="5" t="s">
        <v>34</v>
      </c>
      <c r="D1610" s="6">
        <f>IFERROR(__xludf.DUMMYFUNCTION("SPLIT(MID(C1610,2,LEN(C1610)-2), "","")"),228.0)</f>
        <v>228</v>
      </c>
      <c r="E1610" s="7"/>
      <c r="F1610" s="7"/>
      <c r="G1610" s="2" t="str">
        <f t="array" ref="G1610">IF(ISBLANK(D1610), "", INDEX(Categories!$B:$B,MATCH(D1610,Categories!$A:$A,0)))</f>
        <v>Restaurants</v>
      </c>
      <c r="H1610" s="7" t="str">
        <f t="array" ref="H1610">IF(ISBLANK(E1610), "", INDEX(Categories!$B:$B,MATCH(E1610,Categories!$A:$A,0)))</f>
        <v/>
      </c>
      <c r="I1610" s="7" t="str">
        <f t="array" ref="I1610">IF(ISBLANK(F1610), "", INDEX(Categories!$B:$B,MATCH(F1610,Categories!$A:$A,0)))</f>
        <v/>
      </c>
      <c r="J1610" s="4"/>
      <c r="K1610" s="4"/>
      <c r="L1610" s="4"/>
      <c r="M1610" s="4"/>
      <c r="N1610" s="4"/>
      <c r="O1610" s="4"/>
      <c r="P1610" s="4"/>
      <c r="Q1610" s="4"/>
    </row>
    <row r="1611">
      <c r="A1611" s="5">
        <v>1610.0</v>
      </c>
      <c r="B1611" s="5" t="s">
        <v>2055</v>
      </c>
      <c r="C1611" s="5" t="s">
        <v>249</v>
      </c>
      <c r="D1611" s="6">
        <f>IFERROR(__xludf.DUMMYFUNCTION("SPLIT(MID(C1611,2,LEN(C1611)-2), "","")"),593.0)</f>
        <v>593</v>
      </c>
      <c r="E1611" s="7"/>
      <c r="F1611" s="7"/>
      <c r="G1611" s="2" t="str">
        <f t="array" ref="G1611">IF(ISBLANK(D1611), "", INDEX(Categories!$B:$B,MATCH(D1611,Categories!$A:$A,0)))</f>
        <v>Ice Cream &amp; Frozen Desserts Dealers</v>
      </c>
      <c r="H1611" s="7" t="str">
        <f t="array" ref="H1611">IF(ISBLANK(E1611), "", INDEX(Categories!$B:$B,MATCH(E1611,Categories!$A:$A,0)))</f>
        <v/>
      </c>
      <c r="I1611" s="7" t="str">
        <f t="array" ref="I1611">IF(ISBLANK(F1611), "", INDEX(Categories!$B:$B,MATCH(F1611,Categories!$A:$A,0)))</f>
        <v/>
      </c>
      <c r="J1611" s="4"/>
      <c r="K1611" s="4"/>
      <c r="L1611" s="4"/>
      <c r="M1611" s="4"/>
      <c r="N1611" s="4"/>
      <c r="O1611" s="4"/>
      <c r="P1611" s="4"/>
      <c r="Q1611" s="4"/>
    </row>
    <row r="1612">
      <c r="A1612" s="5">
        <v>1611.0</v>
      </c>
      <c r="B1612" s="5" t="s">
        <v>2056</v>
      </c>
      <c r="C1612" s="5" t="s">
        <v>62</v>
      </c>
      <c r="D1612" s="6">
        <f>IFERROR(__xludf.DUMMYFUNCTION("SPLIT(MID(C1612,2,LEN(C1612)-2), "","")"),242.0)</f>
        <v>242</v>
      </c>
      <c r="E1612" s="7"/>
      <c r="F1612" s="7"/>
      <c r="G1612" s="2" t="str">
        <f t="array" ref="G1612">IF(ISBLANK(D1612), "", INDEX(Categories!$B:$B,MATCH(D1612,Categories!$A:$A,0)))</f>
        <v>Restaurants Pizza</v>
      </c>
      <c r="H1612" s="7" t="str">
        <f t="array" ref="H1612">IF(ISBLANK(E1612), "", INDEX(Categories!$B:$B,MATCH(E1612,Categories!$A:$A,0)))</f>
        <v/>
      </c>
      <c r="I1612" s="7" t="str">
        <f t="array" ref="I1612">IF(ISBLANK(F1612), "", INDEX(Categories!$B:$B,MATCH(F1612,Categories!$A:$A,0)))</f>
        <v/>
      </c>
      <c r="J1612" s="4"/>
      <c r="K1612" s="4"/>
      <c r="L1612" s="4"/>
      <c r="M1612" s="4"/>
      <c r="N1612" s="4"/>
      <c r="O1612" s="4"/>
      <c r="P1612" s="4"/>
      <c r="Q1612" s="4"/>
    </row>
    <row r="1613">
      <c r="A1613" s="5">
        <v>1612.0</v>
      </c>
      <c r="B1613" s="5" t="s">
        <v>2057</v>
      </c>
      <c r="C1613" s="5" t="s">
        <v>522</v>
      </c>
      <c r="D1613" s="6">
        <f>IFERROR(__xludf.DUMMYFUNCTION("SPLIT(MID(C1613,2,LEN(C1613)-2), "","")"),683.0)</f>
        <v>683</v>
      </c>
      <c r="E1613" s="7"/>
      <c r="F1613" s="7"/>
      <c r="G1613" s="2" t="str">
        <f t="array" ref="G1613">IF(ISBLANK(D1613), "", INDEX(Categories!$B:$B,MATCH(D1613,Categories!$A:$A,0)))</f>
        <v>Bakeries</v>
      </c>
      <c r="H1613" s="7" t="str">
        <f t="array" ref="H1613">IF(ISBLANK(E1613), "", INDEX(Categories!$B:$B,MATCH(E1613,Categories!$A:$A,0)))</f>
        <v/>
      </c>
      <c r="I1613" s="7" t="str">
        <f t="array" ref="I1613">IF(ISBLANK(F1613), "", INDEX(Categories!$B:$B,MATCH(F1613,Categories!$A:$A,0)))</f>
        <v/>
      </c>
      <c r="J1613" s="4"/>
      <c r="K1613" s="4"/>
      <c r="L1613" s="4"/>
      <c r="M1613" s="4"/>
      <c r="N1613" s="4"/>
      <c r="O1613" s="4"/>
      <c r="P1613" s="4"/>
      <c r="Q1613" s="4"/>
    </row>
    <row r="1614">
      <c r="A1614" s="5">
        <v>1613.0</v>
      </c>
      <c r="B1614" s="5" t="s">
        <v>2058</v>
      </c>
      <c r="C1614" s="5" t="s">
        <v>1530</v>
      </c>
      <c r="D1614" s="6">
        <f>IFERROR(__xludf.DUMMYFUNCTION("SPLIT(MID(C1614,2,LEN(C1614)-2), "","")"),239.0)</f>
        <v>239</v>
      </c>
      <c r="E1614" s="7"/>
      <c r="F1614" s="7"/>
      <c r="G1614" s="2" t="str">
        <f t="array" ref="G1614">IF(ISBLANK(D1614), "", INDEX(Categories!$B:$B,MATCH(D1614,Categories!$A:$A,0)))</f>
        <v>Restaurants Dining</v>
      </c>
      <c r="H1614" s="7" t="str">
        <f t="array" ref="H1614">IF(ISBLANK(E1614), "", INDEX(Categories!$B:$B,MATCH(E1614,Categories!$A:$A,0)))</f>
        <v/>
      </c>
      <c r="I1614" s="7" t="str">
        <f t="array" ref="I1614">IF(ISBLANK(F1614), "", INDEX(Categories!$B:$B,MATCH(F1614,Categories!$A:$A,0)))</f>
        <v/>
      </c>
      <c r="J1614" s="4"/>
      <c r="K1614" s="4"/>
      <c r="L1614" s="4"/>
      <c r="M1614" s="4"/>
      <c r="N1614" s="4"/>
      <c r="O1614" s="4"/>
      <c r="P1614" s="4"/>
      <c r="Q1614" s="4"/>
    </row>
    <row r="1615">
      <c r="A1615" s="5">
        <v>1614.0</v>
      </c>
      <c r="B1615" s="5" t="s">
        <v>2059</v>
      </c>
      <c r="C1615" s="5" t="s">
        <v>34</v>
      </c>
      <c r="D1615" s="6">
        <f>IFERROR(__xludf.DUMMYFUNCTION("SPLIT(MID(C1615,2,LEN(C1615)-2), "","")"),228.0)</f>
        <v>228</v>
      </c>
      <c r="E1615" s="7"/>
      <c r="F1615" s="7"/>
      <c r="G1615" s="2" t="str">
        <f t="array" ref="G1615">IF(ISBLANK(D1615), "", INDEX(Categories!$B:$B,MATCH(D1615,Categories!$A:$A,0)))</f>
        <v>Restaurants</v>
      </c>
      <c r="H1615" s="7" t="str">
        <f t="array" ref="H1615">IF(ISBLANK(E1615), "", INDEX(Categories!$B:$B,MATCH(E1615,Categories!$A:$A,0)))</f>
        <v/>
      </c>
      <c r="I1615" s="7" t="str">
        <f t="array" ref="I1615">IF(ISBLANK(F1615), "", INDEX(Categories!$B:$B,MATCH(F1615,Categories!$A:$A,0)))</f>
        <v/>
      </c>
      <c r="J1615" s="4"/>
      <c r="K1615" s="4"/>
      <c r="L1615" s="4"/>
      <c r="M1615" s="4"/>
      <c r="N1615" s="4"/>
      <c r="O1615" s="4"/>
      <c r="P1615" s="4"/>
      <c r="Q1615" s="4"/>
    </row>
    <row r="1616">
      <c r="A1616" s="5">
        <v>1615.0</v>
      </c>
      <c r="B1616" s="5" t="s">
        <v>2060</v>
      </c>
      <c r="C1616" s="5" t="s">
        <v>60</v>
      </c>
      <c r="D1616" s="6">
        <f>IFERROR(__xludf.DUMMYFUNCTION("SPLIT(MID(C1616,2,LEN(C1616)-2), "","")"),240.0)</f>
        <v>240</v>
      </c>
      <c r="E1616" s="7"/>
      <c r="F1616" s="7"/>
      <c r="G1616" s="2" t="str">
        <f t="array" ref="G1616">IF(ISBLANK(D1616), "", INDEX(Categories!$B:$B,MATCH(D1616,Categories!$A:$A,0)))</f>
        <v>Restaurants Fast Food</v>
      </c>
      <c r="H1616" s="7" t="str">
        <f t="array" ref="H1616">IF(ISBLANK(E1616), "", INDEX(Categories!$B:$B,MATCH(E1616,Categories!$A:$A,0)))</f>
        <v/>
      </c>
      <c r="I1616" s="7" t="str">
        <f t="array" ref="I1616">IF(ISBLANK(F1616), "", INDEX(Categories!$B:$B,MATCH(F1616,Categories!$A:$A,0)))</f>
        <v/>
      </c>
      <c r="J1616" s="4"/>
      <c r="K1616" s="4"/>
      <c r="L1616" s="4"/>
      <c r="M1616" s="4"/>
      <c r="N1616" s="4"/>
      <c r="O1616" s="4"/>
      <c r="P1616" s="4"/>
      <c r="Q1616" s="4"/>
    </row>
    <row r="1617">
      <c r="A1617" s="5">
        <v>1616.0</v>
      </c>
      <c r="B1617" s="5" t="s">
        <v>2061</v>
      </c>
      <c r="C1617" s="5" t="s">
        <v>60</v>
      </c>
      <c r="D1617" s="6">
        <f>IFERROR(__xludf.DUMMYFUNCTION("SPLIT(MID(C1617,2,LEN(C1617)-2), "","")"),240.0)</f>
        <v>240</v>
      </c>
      <c r="E1617" s="7"/>
      <c r="F1617" s="7"/>
      <c r="G1617" s="2" t="str">
        <f t="array" ref="G1617">IF(ISBLANK(D1617), "", INDEX(Categories!$B:$B,MATCH(D1617,Categories!$A:$A,0)))</f>
        <v>Restaurants Fast Food</v>
      </c>
      <c r="H1617" s="7" t="str">
        <f t="array" ref="H1617">IF(ISBLANK(E1617), "", INDEX(Categories!$B:$B,MATCH(E1617,Categories!$A:$A,0)))</f>
        <v/>
      </c>
      <c r="I1617" s="7" t="str">
        <f t="array" ref="I1617">IF(ISBLANK(F1617), "", INDEX(Categories!$B:$B,MATCH(F1617,Categories!$A:$A,0)))</f>
        <v/>
      </c>
      <c r="J1617" s="4"/>
      <c r="K1617" s="4"/>
      <c r="L1617" s="4"/>
      <c r="M1617" s="4"/>
      <c r="N1617" s="4"/>
      <c r="O1617" s="4"/>
      <c r="P1617" s="4"/>
      <c r="Q1617" s="4"/>
    </row>
    <row r="1618">
      <c r="A1618" s="5">
        <v>1617.0</v>
      </c>
      <c r="B1618" s="5" t="s">
        <v>2062</v>
      </c>
      <c r="C1618" s="5" t="s">
        <v>34</v>
      </c>
      <c r="D1618" s="6">
        <f>IFERROR(__xludf.DUMMYFUNCTION("SPLIT(MID(C1618,2,LEN(C1618)-2), "","")"),228.0)</f>
        <v>228</v>
      </c>
      <c r="E1618" s="7"/>
      <c r="F1618" s="7"/>
      <c r="G1618" s="2" t="str">
        <f t="array" ref="G1618">IF(ISBLANK(D1618), "", INDEX(Categories!$B:$B,MATCH(D1618,Categories!$A:$A,0)))</f>
        <v>Restaurants</v>
      </c>
      <c r="H1618" s="7" t="str">
        <f t="array" ref="H1618">IF(ISBLANK(E1618), "", INDEX(Categories!$B:$B,MATCH(E1618,Categories!$A:$A,0)))</f>
        <v/>
      </c>
      <c r="I1618" s="7" t="str">
        <f t="array" ref="I1618">IF(ISBLANK(F1618), "", INDEX(Categories!$B:$B,MATCH(F1618,Categories!$A:$A,0)))</f>
        <v/>
      </c>
      <c r="J1618" s="4"/>
      <c r="K1618" s="4"/>
      <c r="L1618" s="4"/>
      <c r="M1618" s="4"/>
      <c r="N1618" s="4"/>
      <c r="O1618" s="4"/>
      <c r="P1618" s="4"/>
      <c r="Q1618" s="4"/>
    </row>
    <row r="1619">
      <c r="A1619" s="5">
        <v>1618.0</v>
      </c>
      <c r="B1619" s="5" t="s">
        <v>2063</v>
      </c>
      <c r="C1619" s="5" t="s">
        <v>34</v>
      </c>
      <c r="D1619" s="6">
        <f>IFERROR(__xludf.DUMMYFUNCTION("SPLIT(MID(C1619,2,LEN(C1619)-2), "","")"),228.0)</f>
        <v>228</v>
      </c>
      <c r="E1619" s="7"/>
      <c r="F1619" s="7"/>
      <c r="G1619" s="2" t="str">
        <f t="array" ref="G1619">IF(ISBLANK(D1619), "", INDEX(Categories!$B:$B,MATCH(D1619,Categories!$A:$A,0)))</f>
        <v>Restaurants</v>
      </c>
      <c r="H1619" s="7" t="str">
        <f t="array" ref="H1619">IF(ISBLANK(E1619), "", INDEX(Categories!$B:$B,MATCH(E1619,Categories!$A:$A,0)))</f>
        <v/>
      </c>
      <c r="I1619" s="7" t="str">
        <f t="array" ref="I1619">IF(ISBLANK(F1619), "", INDEX(Categories!$B:$B,MATCH(F1619,Categories!$A:$A,0)))</f>
        <v/>
      </c>
      <c r="J1619" s="4"/>
      <c r="K1619" s="4"/>
      <c r="L1619" s="4"/>
      <c r="M1619" s="4"/>
      <c r="N1619" s="4"/>
      <c r="O1619" s="4"/>
      <c r="P1619" s="4"/>
      <c r="Q1619" s="4"/>
    </row>
    <row r="1620">
      <c r="A1620" s="5">
        <v>1619.0</v>
      </c>
      <c r="B1620" s="5" t="s">
        <v>2064</v>
      </c>
      <c r="C1620" s="5" t="s">
        <v>34</v>
      </c>
      <c r="D1620" s="6">
        <f>IFERROR(__xludf.DUMMYFUNCTION("SPLIT(MID(C1620,2,LEN(C1620)-2), "","")"),228.0)</f>
        <v>228</v>
      </c>
      <c r="E1620" s="7"/>
      <c r="F1620" s="7"/>
      <c r="G1620" s="2" t="str">
        <f t="array" ref="G1620">IF(ISBLANK(D1620), "", INDEX(Categories!$B:$B,MATCH(D1620,Categories!$A:$A,0)))</f>
        <v>Restaurants</v>
      </c>
      <c r="H1620" s="7" t="str">
        <f t="array" ref="H1620">IF(ISBLANK(E1620), "", INDEX(Categories!$B:$B,MATCH(E1620,Categories!$A:$A,0)))</f>
        <v/>
      </c>
      <c r="I1620" s="7" t="str">
        <f t="array" ref="I1620">IF(ISBLANK(F1620), "", INDEX(Categories!$B:$B,MATCH(F1620,Categories!$A:$A,0)))</f>
        <v/>
      </c>
      <c r="J1620" s="4"/>
      <c r="K1620" s="4"/>
      <c r="L1620" s="4"/>
      <c r="M1620" s="4"/>
      <c r="N1620" s="4"/>
      <c r="O1620" s="4"/>
      <c r="P1620" s="4"/>
      <c r="Q1620" s="4"/>
    </row>
    <row r="1621">
      <c r="A1621" s="5">
        <v>1620.0</v>
      </c>
      <c r="B1621" s="5" t="s">
        <v>2065</v>
      </c>
      <c r="C1621" s="5" t="s">
        <v>34</v>
      </c>
      <c r="D1621" s="6">
        <f>IFERROR(__xludf.DUMMYFUNCTION("SPLIT(MID(C1621,2,LEN(C1621)-2), "","")"),228.0)</f>
        <v>228</v>
      </c>
      <c r="E1621" s="7"/>
      <c r="F1621" s="7"/>
      <c r="G1621" s="2" t="str">
        <f t="array" ref="G1621">IF(ISBLANK(D1621), "", INDEX(Categories!$B:$B,MATCH(D1621,Categories!$A:$A,0)))</f>
        <v>Restaurants</v>
      </c>
      <c r="H1621" s="7" t="str">
        <f t="array" ref="H1621">IF(ISBLANK(E1621), "", INDEX(Categories!$B:$B,MATCH(E1621,Categories!$A:$A,0)))</f>
        <v/>
      </c>
      <c r="I1621" s="7" t="str">
        <f t="array" ref="I1621">IF(ISBLANK(F1621), "", INDEX(Categories!$B:$B,MATCH(F1621,Categories!$A:$A,0)))</f>
        <v/>
      </c>
      <c r="J1621" s="4"/>
      <c r="K1621" s="4"/>
      <c r="L1621" s="4"/>
      <c r="M1621" s="4"/>
      <c r="N1621" s="4"/>
      <c r="O1621" s="4"/>
      <c r="P1621" s="4"/>
      <c r="Q1621" s="4"/>
    </row>
    <row r="1622">
      <c r="A1622" s="5">
        <v>1621.0</v>
      </c>
      <c r="B1622" s="5" t="s">
        <v>2066</v>
      </c>
      <c r="C1622" s="5" t="s">
        <v>62</v>
      </c>
      <c r="D1622" s="6">
        <f>IFERROR(__xludf.DUMMYFUNCTION("SPLIT(MID(C1622,2,LEN(C1622)-2), "","")"),242.0)</f>
        <v>242</v>
      </c>
      <c r="E1622" s="7"/>
      <c r="F1622" s="7"/>
      <c r="G1622" s="2" t="str">
        <f t="array" ref="G1622">IF(ISBLANK(D1622), "", INDEX(Categories!$B:$B,MATCH(D1622,Categories!$A:$A,0)))</f>
        <v>Restaurants Pizza</v>
      </c>
      <c r="H1622" s="7" t="str">
        <f t="array" ref="H1622">IF(ISBLANK(E1622), "", INDEX(Categories!$B:$B,MATCH(E1622,Categories!$A:$A,0)))</f>
        <v/>
      </c>
      <c r="I1622" s="7" t="str">
        <f t="array" ref="I1622">IF(ISBLANK(F1622), "", INDEX(Categories!$B:$B,MATCH(F1622,Categories!$A:$A,0)))</f>
        <v/>
      </c>
      <c r="J1622" s="4"/>
      <c r="K1622" s="4"/>
      <c r="L1622" s="4"/>
      <c r="M1622" s="4"/>
      <c r="N1622" s="4"/>
      <c r="O1622" s="4"/>
      <c r="P1622" s="4"/>
      <c r="Q1622" s="4"/>
    </row>
    <row r="1623">
      <c r="A1623" s="5">
        <v>1622.0</v>
      </c>
      <c r="B1623" s="5" t="s">
        <v>2067</v>
      </c>
      <c r="C1623" s="5" t="s">
        <v>62</v>
      </c>
      <c r="D1623" s="6">
        <f>IFERROR(__xludf.DUMMYFUNCTION("SPLIT(MID(C1623,2,LEN(C1623)-2), "","")"),242.0)</f>
        <v>242</v>
      </c>
      <c r="E1623" s="7"/>
      <c r="F1623" s="7"/>
      <c r="G1623" s="2" t="str">
        <f t="array" ref="G1623">IF(ISBLANK(D1623), "", INDEX(Categories!$B:$B,MATCH(D1623,Categories!$A:$A,0)))</f>
        <v>Restaurants Pizza</v>
      </c>
      <c r="H1623" s="7" t="str">
        <f t="array" ref="H1623">IF(ISBLANK(E1623), "", INDEX(Categories!$B:$B,MATCH(E1623,Categories!$A:$A,0)))</f>
        <v/>
      </c>
      <c r="I1623" s="7" t="str">
        <f t="array" ref="I1623">IF(ISBLANK(F1623), "", INDEX(Categories!$B:$B,MATCH(F1623,Categories!$A:$A,0)))</f>
        <v/>
      </c>
      <c r="J1623" s="4"/>
      <c r="K1623" s="4"/>
      <c r="L1623" s="4"/>
      <c r="M1623" s="4"/>
      <c r="N1623" s="4"/>
      <c r="O1623" s="4"/>
      <c r="P1623" s="4"/>
      <c r="Q1623" s="4"/>
    </row>
    <row r="1624">
      <c r="A1624" s="5">
        <v>1623.0</v>
      </c>
      <c r="B1624" s="5" t="s">
        <v>2068</v>
      </c>
      <c r="C1624" s="5" t="s">
        <v>34</v>
      </c>
      <c r="D1624" s="6">
        <f>IFERROR(__xludf.DUMMYFUNCTION("SPLIT(MID(C1624,2,LEN(C1624)-2), "","")"),228.0)</f>
        <v>228</v>
      </c>
      <c r="E1624" s="7"/>
      <c r="F1624" s="7"/>
      <c r="G1624" s="2" t="str">
        <f t="array" ref="G1624">IF(ISBLANK(D1624), "", INDEX(Categories!$B:$B,MATCH(D1624,Categories!$A:$A,0)))</f>
        <v>Restaurants</v>
      </c>
      <c r="H1624" s="7" t="str">
        <f t="array" ref="H1624">IF(ISBLANK(E1624), "", INDEX(Categories!$B:$B,MATCH(E1624,Categories!$A:$A,0)))</f>
        <v/>
      </c>
      <c r="I1624" s="7" t="str">
        <f t="array" ref="I1624">IF(ISBLANK(F1624), "", INDEX(Categories!$B:$B,MATCH(F1624,Categories!$A:$A,0)))</f>
        <v/>
      </c>
      <c r="J1624" s="4"/>
      <c r="K1624" s="4"/>
      <c r="L1624" s="4"/>
      <c r="M1624" s="4"/>
      <c r="N1624" s="4"/>
      <c r="O1624" s="4"/>
      <c r="P1624" s="4"/>
      <c r="Q1624" s="4"/>
    </row>
    <row r="1625">
      <c r="A1625" s="5">
        <v>1624.0</v>
      </c>
      <c r="B1625" s="5" t="s">
        <v>2069</v>
      </c>
      <c r="C1625" s="5" t="s">
        <v>34</v>
      </c>
      <c r="D1625" s="6">
        <f>IFERROR(__xludf.DUMMYFUNCTION("SPLIT(MID(C1625,2,LEN(C1625)-2), "","")"),228.0)</f>
        <v>228</v>
      </c>
      <c r="E1625" s="7"/>
      <c r="F1625" s="7"/>
      <c r="G1625" s="2" t="str">
        <f t="array" ref="G1625">IF(ISBLANK(D1625), "", INDEX(Categories!$B:$B,MATCH(D1625,Categories!$A:$A,0)))</f>
        <v>Restaurants</v>
      </c>
      <c r="H1625" s="7" t="str">
        <f t="array" ref="H1625">IF(ISBLANK(E1625), "", INDEX(Categories!$B:$B,MATCH(E1625,Categories!$A:$A,0)))</f>
        <v/>
      </c>
      <c r="I1625" s="7" t="str">
        <f t="array" ref="I1625">IF(ISBLANK(F1625), "", INDEX(Categories!$B:$B,MATCH(F1625,Categories!$A:$A,0)))</f>
        <v/>
      </c>
      <c r="J1625" s="4"/>
      <c r="K1625" s="4"/>
      <c r="L1625" s="4"/>
      <c r="M1625" s="4"/>
      <c r="N1625" s="4"/>
      <c r="O1625" s="4"/>
      <c r="P1625" s="4"/>
      <c r="Q1625" s="4"/>
    </row>
    <row r="1626">
      <c r="A1626" s="5">
        <v>1625.0</v>
      </c>
      <c r="B1626" s="5" t="s">
        <v>2070</v>
      </c>
      <c r="C1626" s="5" t="s">
        <v>99</v>
      </c>
      <c r="D1626" s="6">
        <f>IFERROR(__xludf.DUMMYFUNCTION("SPLIT(MID(C1626,2,LEN(C1626)-2), "","")"),2331.0)</f>
        <v>2331</v>
      </c>
      <c r="E1626" s="7"/>
      <c r="F1626" s="7"/>
      <c r="G1626" s="2" t="str">
        <f t="array" ref="G1626">IF(ISBLANK(D1626), "", INDEX(Categories!$B:$B,MATCH(D1626,Categories!$A:$A,0)))</f>
        <v>Donuts</v>
      </c>
      <c r="H1626" s="7" t="str">
        <f t="array" ref="H1626">IF(ISBLANK(E1626), "", INDEX(Categories!$B:$B,MATCH(E1626,Categories!$A:$A,0)))</f>
        <v/>
      </c>
      <c r="I1626" s="7" t="str">
        <f t="array" ref="I1626">IF(ISBLANK(F1626), "", INDEX(Categories!$B:$B,MATCH(F1626,Categories!$A:$A,0)))</f>
        <v/>
      </c>
      <c r="J1626" s="4"/>
      <c r="K1626" s="4"/>
      <c r="L1626" s="4"/>
      <c r="M1626" s="4"/>
      <c r="N1626" s="4"/>
      <c r="O1626" s="4"/>
      <c r="P1626" s="4"/>
      <c r="Q1626" s="4"/>
    </row>
    <row r="1627">
      <c r="A1627" s="5">
        <v>1626.0</v>
      </c>
      <c r="B1627" s="5" t="s">
        <v>2071</v>
      </c>
      <c r="C1627" s="5" t="s">
        <v>34</v>
      </c>
      <c r="D1627" s="6">
        <f>IFERROR(__xludf.DUMMYFUNCTION("SPLIT(MID(C1627,2,LEN(C1627)-2), "","")"),228.0)</f>
        <v>228</v>
      </c>
      <c r="E1627" s="7"/>
      <c r="F1627" s="7"/>
      <c r="G1627" s="2" t="str">
        <f t="array" ref="G1627">IF(ISBLANK(D1627), "", INDEX(Categories!$B:$B,MATCH(D1627,Categories!$A:$A,0)))</f>
        <v>Restaurants</v>
      </c>
      <c r="H1627" s="7" t="str">
        <f t="array" ref="H1627">IF(ISBLANK(E1627), "", INDEX(Categories!$B:$B,MATCH(E1627,Categories!$A:$A,0)))</f>
        <v/>
      </c>
      <c r="I1627" s="7" t="str">
        <f t="array" ref="I1627">IF(ISBLANK(F1627), "", INDEX(Categories!$B:$B,MATCH(F1627,Categories!$A:$A,0)))</f>
        <v/>
      </c>
      <c r="J1627" s="4"/>
      <c r="K1627" s="4"/>
      <c r="L1627" s="4"/>
      <c r="M1627" s="4"/>
      <c r="N1627" s="4"/>
      <c r="O1627" s="4"/>
      <c r="P1627" s="4"/>
      <c r="Q1627" s="4"/>
    </row>
    <row r="1628">
      <c r="A1628" s="5">
        <v>1627.0</v>
      </c>
      <c r="B1628" s="5" t="s">
        <v>2072</v>
      </c>
      <c r="C1628" s="5" t="s">
        <v>34</v>
      </c>
      <c r="D1628" s="6">
        <f>IFERROR(__xludf.DUMMYFUNCTION("SPLIT(MID(C1628,2,LEN(C1628)-2), "","")"),228.0)</f>
        <v>228</v>
      </c>
      <c r="E1628" s="7"/>
      <c r="F1628" s="7"/>
      <c r="G1628" s="2" t="str">
        <f t="array" ref="G1628">IF(ISBLANK(D1628), "", INDEX(Categories!$B:$B,MATCH(D1628,Categories!$A:$A,0)))</f>
        <v>Restaurants</v>
      </c>
      <c r="H1628" s="7" t="str">
        <f t="array" ref="H1628">IF(ISBLANK(E1628), "", INDEX(Categories!$B:$B,MATCH(E1628,Categories!$A:$A,0)))</f>
        <v/>
      </c>
      <c r="I1628" s="7" t="str">
        <f t="array" ref="I1628">IF(ISBLANK(F1628), "", INDEX(Categories!$B:$B,MATCH(F1628,Categories!$A:$A,0)))</f>
        <v/>
      </c>
      <c r="J1628" s="4"/>
      <c r="K1628" s="4"/>
      <c r="L1628" s="4"/>
      <c r="M1628" s="4"/>
      <c r="N1628" s="4"/>
      <c r="O1628" s="4"/>
      <c r="P1628" s="4"/>
      <c r="Q1628" s="4"/>
    </row>
    <row r="1629">
      <c r="A1629" s="5">
        <v>1628.0</v>
      </c>
      <c r="B1629" s="5" t="s">
        <v>2073</v>
      </c>
      <c r="C1629" s="5" t="s">
        <v>695</v>
      </c>
      <c r="D1629" s="6">
        <f>IFERROR(__xludf.DUMMYFUNCTION("SPLIT(MID(C1629,2,LEN(C1629)-2), "","")"),237.0)</f>
        <v>237</v>
      </c>
      <c r="E1629" s="7"/>
      <c r="F1629" s="7"/>
      <c r="G1629" s="2" t="str">
        <f t="array" ref="G1629">IF(ISBLANK(D1629), "", INDEX(Categories!$B:$B,MATCH(D1629,Categories!$A:$A,0)))</f>
        <v>Restaurants Chinese</v>
      </c>
      <c r="H1629" s="7" t="str">
        <f t="array" ref="H1629">IF(ISBLANK(E1629), "", INDEX(Categories!$B:$B,MATCH(E1629,Categories!$A:$A,0)))</f>
        <v/>
      </c>
      <c r="I1629" s="7" t="str">
        <f t="array" ref="I1629">IF(ISBLANK(F1629), "", INDEX(Categories!$B:$B,MATCH(F1629,Categories!$A:$A,0)))</f>
        <v/>
      </c>
      <c r="J1629" s="4"/>
      <c r="K1629" s="4"/>
      <c r="L1629" s="4"/>
      <c r="M1629" s="4"/>
      <c r="N1629" s="4"/>
      <c r="O1629" s="4"/>
      <c r="P1629" s="4"/>
      <c r="Q1629" s="4"/>
    </row>
    <row r="1630">
      <c r="A1630" s="5">
        <v>1629.0</v>
      </c>
      <c r="B1630" s="5" t="s">
        <v>2074</v>
      </c>
      <c r="C1630" s="5" t="s">
        <v>34</v>
      </c>
      <c r="D1630" s="6">
        <f>IFERROR(__xludf.DUMMYFUNCTION("SPLIT(MID(C1630,2,LEN(C1630)-2), "","")"),228.0)</f>
        <v>228</v>
      </c>
      <c r="E1630" s="7"/>
      <c r="F1630" s="7"/>
      <c r="G1630" s="2" t="str">
        <f t="array" ref="G1630">IF(ISBLANK(D1630), "", INDEX(Categories!$B:$B,MATCH(D1630,Categories!$A:$A,0)))</f>
        <v>Restaurants</v>
      </c>
      <c r="H1630" s="7" t="str">
        <f t="array" ref="H1630">IF(ISBLANK(E1630), "", INDEX(Categories!$B:$B,MATCH(E1630,Categories!$A:$A,0)))</f>
        <v/>
      </c>
      <c r="I1630" s="7" t="str">
        <f t="array" ref="I1630">IF(ISBLANK(F1630), "", INDEX(Categories!$B:$B,MATCH(F1630,Categories!$A:$A,0)))</f>
        <v/>
      </c>
      <c r="J1630" s="4"/>
      <c r="K1630" s="4"/>
      <c r="L1630" s="4"/>
      <c r="M1630" s="4"/>
      <c r="N1630" s="4"/>
      <c r="O1630" s="4"/>
      <c r="P1630" s="4"/>
      <c r="Q1630" s="4"/>
    </row>
    <row r="1631">
      <c r="A1631" s="5">
        <v>1630.0</v>
      </c>
      <c r="B1631" s="5" t="s">
        <v>2075</v>
      </c>
      <c r="C1631" s="5" t="s">
        <v>1148</v>
      </c>
      <c r="D1631" s="6">
        <f>IFERROR(__xludf.DUMMYFUNCTION("SPLIT(MID(C1631,2,LEN(C1631)-2), "","")"),235.0)</f>
        <v>235</v>
      </c>
      <c r="E1631" s="7"/>
      <c r="F1631" s="7"/>
      <c r="G1631" s="2" t="str">
        <f t="array" ref="G1631">IF(ISBLANK(D1631), "", INDEX(Categories!$B:$B,MATCH(D1631,Categories!$A:$A,0)))</f>
        <v>Restaurants Barbecue</v>
      </c>
      <c r="H1631" s="7" t="str">
        <f t="array" ref="H1631">IF(ISBLANK(E1631), "", INDEX(Categories!$B:$B,MATCH(E1631,Categories!$A:$A,0)))</f>
        <v/>
      </c>
      <c r="I1631" s="7" t="str">
        <f t="array" ref="I1631">IF(ISBLANK(F1631), "", INDEX(Categories!$B:$B,MATCH(F1631,Categories!$A:$A,0)))</f>
        <v/>
      </c>
      <c r="J1631" s="4"/>
      <c r="K1631" s="4"/>
      <c r="L1631" s="4"/>
      <c r="M1631" s="4"/>
      <c r="N1631" s="4"/>
      <c r="O1631" s="4"/>
      <c r="P1631" s="4"/>
      <c r="Q1631" s="4"/>
    </row>
    <row r="1632">
      <c r="A1632" s="5">
        <v>1631.0</v>
      </c>
      <c r="B1632" s="5" t="s">
        <v>2076</v>
      </c>
      <c r="C1632" s="5" t="s">
        <v>34</v>
      </c>
      <c r="D1632" s="6">
        <f>IFERROR(__xludf.DUMMYFUNCTION("SPLIT(MID(C1632,2,LEN(C1632)-2), "","")"),228.0)</f>
        <v>228</v>
      </c>
      <c r="E1632" s="7"/>
      <c r="F1632" s="7"/>
      <c r="G1632" s="2" t="str">
        <f t="array" ref="G1632">IF(ISBLANK(D1632), "", INDEX(Categories!$B:$B,MATCH(D1632,Categories!$A:$A,0)))</f>
        <v>Restaurants</v>
      </c>
      <c r="H1632" s="7" t="str">
        <f t="array" ref="H1632">IF(ISBLANK(E1632), "", INDEX(Categories!$B:$B,MATCH(E1632,Categories!$A:$A,0)))</f>
        <v/>
      </c>
      <c r="I1632" s="7" t="str">
        <f t="array" ref="I1632">IF(ISBLANK(F1632), "", INDEX(Categories!$B:$B,MATCH(F1632,Categories!$A:$A,0)))</f>
        <v/>
      </c>
      <c r="J1632" s="4"/>
      <c r="K1632" s="4"/>
      <c r="L1632" s="4"/>
      <c r="M1632" s="4"/>
      <c r="N1632" s="4"/>
      <c r="O1632" s="4"/>
      <c r="P1632" s="4"/>
      <c r="Q1632" s="4"/>
    </row>
    <row r="1633">
      <c r="A1633" s="5">
        <v>1632.0</v>
      </c>
      <c r="B1633" s="5" t="s">
        <v>2077</v>
      </c>
      <c r="C1633" s="5" t="s">
        <v>34</v>
      </c>
      <c r="D1633" s="6">
        <f>IFERROR(__xludf.DUMMYFUNCTION("SPLIT(MID(C1633,2,LEN(C1633)-2), "","")"),228.0)</f>
        <v>228</v>
      </c>
      <c r="E1633" s="7"/>
      <c r="F1633" s="7"/>
      <c r="G1633" s="2" t="str">
        <f t="array" ref="G1633">IF(ISBLANK(D1633), "", INDEX(Categories!$B:$B,MATCH(D1633,Categories!$A:$A,0)))</f>
        <v>Restaurants</v>
      </c>
      <c r="H1633" s="7" t="str">
        <f t="array" ref="H1633">IF(ISBLANK(E1633), "", INDEX(Categories!$B:$B,MATCH(E1633,Categories!$A:$A,0)))</f>
        <v/>
      </c>
      <c r="I1633" s="7" t="str">
        <f t="array" ref="I1633">IF(ISBLANK(F1633), "", INDEX(Categories!$B:$B,MATCH(F1633,Categories!$A:$A,0)))</f>
        <v/>
      </c>
      <c r="J1633" s="4"/>
      <c r="K1633" s="4"/>
      <c r="L1633" s="4"/>
      <c r="M1633" s="4"/>
      <c r="N1633" s="4"/>
      <c r="O1633" s="4"/>
      <c r="P1633" s="4"/>
      <c r="Q1633" s="4"/>
    </row>
    <row r="1634">
      <c r="A1634" s="5">
        <v>1633.0</v>
      </c>
      <c r="B1634" s="5" t="s">
        <v>2078</v>
      </c>
      <c r="C1634" s="5" t="s">
        <v>99</v>
      </c>
      <c r="D1634" s="6">
        <f>IFERROR(__xludf.DUMMYFUNCTION("SPLIT(MID(C1634,2,LEN(C1634)-2), "","")"),2331.0)</f>
        <v>2331</v>
      </c>
      <c r="E1634" s="7"/>
      <c r="F1634" s="7"/>
      <c r="G1634" s="2" t="str">
        <f t="array" ref="G1634">IF(ISBLANK(D1634), "", INDEX(Categories!$B:$B,MATCH(D1634,Categories!$A:$A,0)))</f>
        <v>Donuts</v>
      </c>
      <c r="H1634" s="7" t="str">
        <f t="array" ref="H1634">IF(ISBLANK(E1634), "", INDEX(Categories!$B:$B,MATCH(E1634,Categories!$A:$A,0)))</f>
        <v/>
      </c>
      <c r="I1634" s="7" t="str">
        <f t="array" ref="I1634">IF(ISBLANK(F1634), "", INDEX(Categories!$B:$B,MATCH(F1634,Categories!$A:$A,0)))</f>
        <v/>
      </c>
      <c r="J1634" s="4"/>
      <c r="K1634" s="4"/>
      <c r="L1634" s="4"/>
      <c r="M1634" s="4"/>
      <c r="N1634" s="4"/>
      <c r="O1634" s="4"/>
      <c r="P1634" s="4"/>
      <c r="Q1634" s="4"/>
    </row>
    <row r="1635">
      <c r="A1635" s="5">
        <v>1634.0</v>
      </c>
      <c r="B1635" s="5" t="s">
        <v>2079</v>
      </c>
      <c r="C1635" s="5" t="s">
        <v>164</v>
      </c>
      <c r="D1635" s="6">
        <f>IFERROR(__xludf.DUMMYFUNCTION("SPLIT(MID(C1635,2,LEN(C1635)-2), "","")"),243.0)</f>
        <v>243</v>
      </c>
      <c r="E1635" s="7"/>
      <c r="F1635" s="7"/>
      <c r="G1635" s="2" t="str">
        <f t="array" ref="G1635">IF(ISBLANK(D1635), "", INDEX(Categories!$B:$B,MATCH(D1635,Categories!$A:$A,0)))</f>
        <v>Restaurants Seafood</v>
      </c>
      <c r="H1635" s="7" t="str">
        <f t="array" ref="H1635">IF(ISBLANK(E1635), "", INDEX(Categories!$B:$B,MATCH(E1635,Categories!$A:$A,0)))</f>
        <v/>
      </c>
      <c r="I1635" s="7" t="str">
        <f t="array" ref="I1635">IF(ISBLANK(F1635), "", INDEX(Categories!$B:$B,MATCH(F1635,Categories!$A:$A,0)))</f>
        <v/>
      </c>
      <c r="J1635" s="4"/>
      <c r="K1635" s="4"/>
      <c r="L1635" s="4"/>
      <c r="M1635" s="4"/>
      <c r="N1635" s="4"/>
      <c r="O1635" s="4"/>
      <c r="P1635" s="4"/>
      <c r="Q1635" s="4"/>
    </row>
    <row r="1636">
      <c r="A1636" s="5">
        <v>1635.0</v>
      </c>
      <c r="B1636" s="5" t="s">
        <v>2080</v>
      </c>
      <c r="C1636" s="5" t="s">
        <v>62</v>
      </c>
      <c r="D1636" s="6">
        <f>IFERROR(__xludf.DUMMYFUNCTION("SPLIT(MID(C1636,2,LEN(C1636)-2), "","")"),242.0)</f>
        <v>242</v>
      </c>
      <c r="E1636" s="7"/>
      <c r="F1636" s="7"/>
      <c r="G1636" s="2" t="str">
        <f t="array" ref="G1636">IF(ISBLANK(D1636), "", INDEX(Categories!$B:$B,MATCH(D1636,Categories!$A:$A,0)))</f>
        <v>Restaurants Pizza</v>
      </c>
      <c r="H1636" s="7" t="str">
        <f t="array" ref="H1636">IF(ISBLANK(E1636), "", INDEX(Categories!$B:$B,MATCH(E1636,Categories!$A:$A,0)))</f>
        <v/>
      </c>
      <c r="I1636" s="7" t="str">
        <f t="array" ref="I1636">IF(ISBLANK(F1636), "", INDEX(Categories!$B:$B,MATCH(F1636,Categories!$A:$A,0)))</f>
        <v/>
      </c>
      <c r="J1636" s="4"/>
      <c r="K1636" s="4"/>
      <c r="L1636" s="4"/>
      <c r="M1636" s="4"/>
      <c r="N1636" s="4"/>
      <c r="O1636" s="4"/>
      <c r="P1636" s="4"/>
      <c r="Q1636" s="4"/>
    </row>
    <row r="1637">
      <c r="A1637" s="5">
        <v>1636.0</v>
      </c>
      <c r="B1637" s="5" t="s">
        <v>2081</v>
      </c>
      <c r="C1637" s="5" t="s">
        <v>307</v>
      </c>
      <c r="D1637" s="6">
        <f>IFERROR(__xludf.DUMMYFUNCTION("SPLIT(MID(C1637,2,LEN(C1637)-2), "","")"),241.0)</f>
        <v>241</v>
      </c>
      <c r="E1637" s="7"/>
      <c r="F1637" s="7"/>
      <c r="G1637" s="2" t="str">
        <f t="array" ref="G1637">IF(ISBLANK(D1637), "", INDEX(Categories!$B:$B,MATCH(D1637,Categories!$A:$A,0)))</f>
        <v>Restaurants Mexican</v>
      </c>
      <c r="H1637" s="7" t="str">
        <f t="array" ref="H1637">IF(ISBLANK(E1637), "", INDEX(Categories!$B:$B,MATCH(E1637,Categories!$A:$A,0)))</f>
        <v/>
      </c>
      <c r="I1637" s="7" t="str">
        <f t="array" ref="I1637">IF(ISBLANK(F1637), "", INDEX(Categories!$B:$B,MATCH(F1637,Categories!$A:$A,0)))</f>
        <v/>
      </c>
      <c r="J1637" s="4"/>
      <c r="K1637" s="4"/>
      <c r="L1637" s="4"/>
      <c r="M1637" s="4"/>
      <c r="N1637" s="4"/>
      <c r="O1637" s="4"/>
      <c r="P1637" s="4"/>
      <c r="Q1637" s="4"/>
    </row>
    <row r="1638">
      <c r="A1638" s="5">
        <v>1637.0</v>
      </c>
      <c r="B1638" s="5" t="s">
        <v>2082</v>
      </c>
      <c r="C1638" s="5" t="s">
        <v>60</v>
      </c>
      <c r="D1638" s="6">
        <f>IFERROR(__xludf.DUMMYFUNCTION("SPLIT(MID(C1638,2,LEN(C1638)-2), "","")"),240.0)</f>
        <v>240</v>
      </c>
      <c r="E1638" s="7"/>
      <c r="F1638" s="7"/>
      <c r="G1638" s="2" t="str">
        <f t="array" ref="G1638">IF(ISBLANK(D1638), "", INDEX(Categories!$B:$B,MATCH(D1638,Categories!$A:$A,0)))</f>
        <v>Restaurants Fast Food</v>
      </c>
      <c r="H1638" s="7" t="str">
        <f t="array" ref="H1638">IF(ISBLANK(E1638), "", INDEX(Categories!$B:$B,MATCH(E1638,Categories!$A:$A,0)))</f>
        <v/>
      </c>
      <c r="I1638" s="7" t="str">
        <f t="array" ref="I1638">IF(ISBLANK(F1638), "", INDEX(Categories!$B:$B,MATCH(F1638,Categories!$A:$A,0)))</f>
        <v/>
      </c>
      <c r="J1638" s="4"/>
      <c r="K1638" s="4"/>
      <c r="L1638" s="4"/>
      <c r="M1638" s="4"/>
      <c r="N1638" s="4"/>
      <c r="O1638" s="4"/>
      <c r="P1638" s="4"/>
      <c r="Q1638" s="4"/>
    </row>
    <row r="1639">
      <c r="A1639" s="5">
        <v>1638.0</v>
      </c>
      <c r="B1639" s="5" t="s">
        <v>2083</v>
      </c>
      <c r="C1639" s="5" t="s">
        <v>164</v>
      </c>
      <c r="D1639" s="6">
        <f>IFERROR(__xludf.DUMMYFUNCTION("SPLIT(MID(C1639,2,LEN(C1639)-2), "","")"),243.0)</f>
        <v>243</v>
      </c>
      <c r="E1639" s="7"/>
      <c r="F1639" s="7"/>
      <c r="G1639" s="2" t="str">
        <f t="array" ref="G1639">IF(ISBLANK(D1639), "", INDEX(Categories!$B:$B,MATCH(D1639,Categories!$A:$A,0)))</f>
        <v>Restaurants Seafood</v>
      </c>
      <c r="H1639" s="7" t="str">
        <f t="array" ref="H1639">IF(ISBLANK(E1639), "", INDEX(Categories!$B:$B,MATCH(E1639,Categories!$A:$A,0)))</f>
        <v/>
      </c>
      <c r="I1639" s="7" t="str">
        <f t="array" ref="I1639">IF(ISBLANK(F1639), "", INDEX(Categories!$B:$B,MATCH(F1639,Categories!$A:$A,0)))</f>
        <v/>
      </c>
      <c r="J1639" s="4"/>
      <c r="K1639" s="4"/>
      <c r="L1639" s="4"/>
      <c r="M1639" s="4"/>
      <c r="N1639" s="4"/>
      <c r="O1639" s="4"/>
      <c r="P1639" s="4"/>
      <c r="Q1639" s="4"/>
    </row>
    <row r="1640">
      <c r="A1640" s="5">
        <v>1639.0</v>
      </c>
      <c r="B1640" s="5" t="s">
        <v>2084</v>
      </c>
      <c r="C1640" s="5" t="s">
        <v>60</v>
      </c>
      <c r="D1640" s="6">
        <f>IFERROR(__xludf.DUMMYFUNCTION("SPLIT(MID(C1640,2,LEN(C1640)-2), "","")"),240.0)</f>
        <v>240</v>
      </c>
      <c r="E1640" s="7"/>
      <c r="F1640" s="7"/>
      <c r="G1640" s="2" t="str">
        <f t="array" ref="G1640">IF(ISBLANK(D1640), "", INDEX(Categories!$B:$B,MATCH(D1640,Categories!$A:$A,0)))</f>
        <v>Restaurants Fast Food</v>
      </c>
      <c r="H1640" s="7" t="str">
        <f t="array" ref="H1640">IF(ISBLANK(E1640), "", INDEX(Categories!$B:$B,MATCH(E1640,Categories!$A:$A,0)))</f>
        <v/>
      </c>
      <c r="I1640" s="7" t="str">
        <f t="array" ref="I1640">IF(ISBLANK(F1640), "", INDEX(Categories!$B:$B,MATCH(F1640,Categories!$A:$A,0)))</f>
        <v/>
      </c>
      <c r="J1640" s="4"/>
      <c r="K1640" s="4"/>
      <c r="L1640" s="4"/>
      <c r="M1640" s="4"/>
      <c r="N1640" s="4"/>
      <c r="O1640" s="4"/>
      <c r="P1640" s="4"/>
      <c r="Q1640" s="4"/>
    </row>
    <row r="1641">
      <c r="A1641" s="5">
        <v>1640.0</v>
      </c>
      <c r="B1641" s="5" t="s">
        <v>2085</v>
      </c>
      <c r="C1641" s="5" t="s">
        <v>34</v>
      </c>
      <c r="D1641" s="6">
        <f>IFERROR(__xludf.DUMMYFUNCTION("SPLIT(MID(C1641,2,LEN(C1641)-2), "","")"),228.0)</f>
        <v>228</v>
      </c>
      <c r="E1641" s="7"/>
      <c r="F1641" s="7"/>
      <c r="G1641" s="2" t="str">
        <f t="array" ref="G1641">IF(ISBLANK(D1641), "", INDEX(Categories!$B:$B,MATCH(D1641,Categories!$A:$A,0)))</f>
        <v>Restaurants</v>
      </c>
      <c r="H1641" s="7" t="str">
        <f t="array" ref="H1641">IF(ISBLANK(E1641), "", INDEX(Categories!$B:$B,MATCH(E1641,Categories!$A:$A,0)))</f>
        <v/>
      </c>
      <c r="I1641" s="7" t="str">
        <f t="array" ref="I1641">IF(ISBLANK(F1641), "", INDEX(Categories!$B:$B,MATCH(F1641,Categories!$A:$A,0)))</f>
        <v/>
      </c>
      <c r="J1641" s="4"/>
      <c r="K1641" s="4"/>
      <c r="L1641" s="4"/>
      <c r="M1641" s="4"/>
      <c r="N1641" s="4"/>
      <c r="O1641" s="4"/>
      <c r="P1641" s="4"/>
      <c r="Q1641" s="4"/>
    </row>
    <row r="1642">
      <c r="A1642" s="5">
        <v>1641.0</v>
      </c>
      <c r="B1642" s="5" t="s">
        <v>2086</v>
      </c>
      <c r="C1642" s="5" t="s">
        <v>34</v>
      </c>
      <c r="D1642" s="6">
        <f>IFERROR(__xludf.DUMMYFUNCTION("SPLIT(MID(C1642,2,LEN(C1642)-2), "","")"),228.0)</f>
        <v>228</v>
      </c>
      <c r="E1642" s="7"/>
      <c r="F1642" s="7"/>
      <c r="G1642" s="2" t="str">
        <f t="array" ref="G1642">IF(ISBLANK(D1642), "", INDEX(Categories!$B:$B,MATCH(D1642,Categories!$A:$A,0)))</f>
        <v>Restaurants</v>
      </c>
      <c r="H1642" s="7" t="str">
        <f t="array" ref="H1642">IF(ISBLANK(E1642), "", INDEX(Categories!$B:$B,MATCH(E1642,Categories!$A:$A,0)))</f>
        <v/>
      </c>
      <c r="I1642" s="7" t="str">
        <f t="array" ref="I1642">IF(ISBLANK(F1642), "", INDEX(Categories!$B:$B,MATCH(F1642,Categories!$A:$A,0)))</f>
        <v/>
      </c>
      <c r="J1642" s="4"/>
      <c r="K1642" s="4"/>
      <c r="L1642" s="4"/>
      <c r="M1642" s="4"/>
      <c r="N1642" s="4"/>
      <c r="O1642" s="4"/>
      <c r="P1642" s="4"/>
      <c r="Q1642" s="4"/>
    </row>
    <row r="1643">
      <c r="A1643" s="5">
        <v>1642.0</v>
      </c>
      <c r="B1643" s="5" t="s">
        <v>2087</v>
      </c>
      <c r="C1643" s="5" t="s">
        <v>34</v>
      </c>
      <c r="D1643" s="6">
        <f>IFERROR(__xludf.DUMMYFUNCTION("SPLIT(MID(C1643,2,LEN(C1643)-2), "","")"),228.0)</f>
        <v>228</v>
      </c>
      <c r="E1643" s="7"/>
      <c r="F1643" s="7"/>
      <c r="G1643" s="2" t="str">
        <f t="array" ref="G1643">IF(ISBLANK(D1643), "", INDEX(Categories!$B:$B,MATCH(D1643,Categories!$A:$A,0)))</f>
        <v>Restaurants</v>
      </c>
      <c r="H1643" s="7" t="str">
        <f t="array" ref="H1643">IF(ISBLANK(E1643), "", INDEX(Categories!$B:$B,MATCH(E1643,Categories!$A:$A,0)))</f>
        <v/>
      </c>
      <c r="I1643" s="7" t="str">
        <f t="array" ref="I1643">IF(ISBLANK(F1643), "", INDEX(Categories!$B:$B,MATCH(F1643,Categories!$A:$A,0)))</f>
        <v/>
      </c>
      <c r="J1643" s="4"/>
      <c r="K1643" s="4"/>
      <c r="L1643" s="4"/>
      <c r="M1643" s="4"/>
      <c r="N1643" s="4"/>
      <c r="O1643" s="4"/>
      <c r="P1643" s="4"/>
      <c r="Q1643" s="4"/>
    </row>
    <row r="1644">
      <c r="A1644" s="5">
        <v>1643.0</v>
      </c>
      <c r="B1644" s="5" t="s">
        <v>2088</v>
      </c>
      <c r="C1644" s="5" t="s">
        <v>34</v>
      </c>
      <c r="D1644" s="6">
        <f>IFERROR(__xludf.DUMMYFUNCTION("SPLIT(MID(C1644,2,LEN(C1644)-2), "","")"),228.0)</f>
        <v>228</v>
      </c>
      <c r="E1644" s="7"/>
      <c r="F1644" s="7"/>
      <c r="G1644" s="2" t="str">
        <f t="array" ref="G1644">IF(ISBLANK(D1644), "", INDEX(Categories!$B:$B,MATCH(D1644,Categories!$A:$A,0)))</f>
        <v>Restaurants</v>
      </c>
      <c r="H1644" s="7" t="str">
        <f t="array" ref="H1644">IF(ISBLANK(E1644), "", INDEX(Categories!$B:$B,MATCH(E1644,Categories!$A:$A,0)))</f>
        <v/>
      </c>
      <c r="I1644" s="7" t="str">
        <f t="array" ref="I1644">IF(ISBLANK(F1644), "", INDEX(Categories!$B:$B,MATCH(F1644,Categories!$A:$A,0)))</f>
        <v/>
      </c>
      <c r="J1644" s="4"/>
      <c r="K1644" s="4"/>
      <c r="L1644" s="4"/>
      <c r="M1644" s="4"/>
      <c r="N1644" s="4"/>
      <c r="O1644" s="4"/>
      <c r="P1644" s="4"/>
      <c r="Q1644" s="4"/>
    </row>
    <row r="1645">
      <c r="A1645" s="5">
        <v>1644.0</v>
      </c>
      <c r="B1645" s="5" t="s">
        <v>2089</v>
      </c>
      <c r="C1645" s="5" t="s">
        <v>307</v>
      </c>
      <c r="D1645" s="6">
        <f>IFERROR(__xludf.DUMMYFUNCTION("SPLIT(MID(C1645,2,LEN(C1645)-2), "","")"),241.0)</f>
        <v>241</v>
      </c>
      <c r="E1645" s="7"/>
      <c r="F1645" s="7"/>
      <c r="G1645" s="2" t="str">
        <f t="array" ref="G1645">IF(ISBLANK(D1645), "", INDEX(Categories!$B:$B,MATCH(D1645,Categories!$A:$A,0)))</f>
        <v>Restaurants Mexican</v>
      </c>
      <c r="H1645" s="7" t="str">
        <f t="array" ref="H1645">IF(ISBLANK(E1645), "", INDEX(Categories!$B:$B,MATCH(E1645,Categories!$A:$A,0)))</f>
        <v/>
      </c>
      <c r="I1645" s="7" t="str">
        <f t="array" ref="I1645">IF(ISBLANK(F1645), "", INDEX(Categories!$B:$B,MATCH(F1645,Categories!$A:$A,0)))</f>
        <v/>
      </c>
      <c r="J1645" s="4"/>
      <c r="K1645" s="4"/>
      <c r="L1645" s="4"/>
      <c r="M1645" s="4"/>
      <c r="N1645" s="4"/>
      <c r="O1645" s="4"/>
      <c r="P1645" s="4"/>
      <c r="Q1645" s="4"/>
    </row>
    <row r="1646">
      <c r="A1646" s="5">
        <v>1645.0</v>
      </c>
      <c r="B1646" s="5" t="s">
        <v>2090</v>
      </c>
      <c r="C1646" s="5" t="s">
        <v>62</v>
      </c>
      <c r="D1646" s="6">
        <f>IFERROR(__xludf.DUMMYFUNCTION("SPLIT(MID(C1646,2,LEN(C1646)-2), "","")"),242.0)</f>
        <v>242</v>
      </c>
      <c r="E1646" s="7"/>
      <c r="F1646" s="7"/>
      <c r="G1646" s="2" t="str">
        <f t="array" ref="G1646">IF(ISBLANK(D1646), "", INDEX(Categories!$B:$B,MATCH(D1646,Categories!$A:$A,0)))</f>
        <v>Restaurants Pizza</v>
      </c>
      <c r="H1646" s="7" t="str">
        <f t="array" ref="H1646">IF(ISBLANK(E1646), "", INDEX(Categories!$B:$B,MATCH(E1646,Categories!$A:$A,0)))</f>
        <v/>
      </c>
      <c r="I1646" s="7" t="str">
        <f t="array" ref="I1646">IF(ISBLANK(F1646), "", INDEX(Categories!$B:$B,MATCH(F1646,Categories!$A:$A,0)))</f>
        <v/>
      </c>
      <c r="J1646" s="4"/>
      <c r="K1646" s="4"/>
      <c r="L1646" s="4"/>
      <c r="M1646" s="4"/>
      <c r="N1646" s="4"/>
      <c r="O1646" s="4"/>
      <c r="P1646" s="4"/>
      <c r="Q1646" s="4"/>
    </row>
    <row r="1647">
      <c r="A1647" s="5">
        <v>1646.0</v>
      </c>
      <c r="B1647" s="5" t="s">
        <v>2091</v>
      </c>
      <c r="C1647" s="5" t="s">
        <v>60</v>
      </c>
      <c r="D1647" s="6">
        <f>IFERROR(__xludf.DUMMYFUNCTION("SPLIT(MID(C1647,2,LEN(C1647)-2), "","")"),240.0)</f>
        <v>240</v>
      </c>
      <c r="E1647" s="7"/>
      <c r="F1647" s="7"/>
      <c r="G1647" s="2" t="str">
        <f t="array" ref="G1647">IF(ISBLANK(D1647), "", INDEX(Categories!$B:$B,MATCH(D1647,Categories!$A:$A,0)))</f>
        <v>Restaurants Fast Food</v>
      </c>
      <c r="H1647" s="7" t="str">
        <f t="array" ref="H1647">IF(ISBLANK(E1647), "", INDEX(Categories!$B:$B,MATCH(E1647,Categories!$A:$A,0)))</f>
        <v/>
      </c>
      <c r="I1647" s="7" t="str">
        <f t="array" ref="I1647">IF(ISBLANK(F1647), "", INDEX(Categories!$B:$B,MATCH(F1647,Categories!$A:$A,0)))</f>
        <v/>
      </c>
      <c r="J1647" s="4"/>
      <c r="K1647" s="4"/>
      <c r="L1647" s="4"/>
      <c r="M1647" s="4"/>
      <c r="N1647" s="4"/>
      <c r="O1647" s="4"/>
      <c r="P1647" s="4"/>
      <c r="Q1647" s="4"/>
    </row>
    <row r="1648">
      <c r="A1648" s="5">
        <v>1647.0</v>
      </c>
      <c r="B1648" s="5" t="s">
        <v>2092</v>
      </c>
      <c r="C1648" s="5" t="s">
        <v>60</v>
      </c>
      <c r="D1648" s="6">
        <f>IFERROR(__xludf.DUMMYFUNCTION("SPLIT(MID(C1648,2,LEN(C1648)-2), "","")"),240.0)</f>
        <v>240</v>
      </c>
      <c r="E1648" s="7"/>
      <c r="F1648" s="7"/>
      <c r="G1648" s="2" t="str">
        <f t="array" ref="G1648">IF(ISBLANK(D1648), "", INDEX(Categories!$B:$B,MATCH(D1648,Categories!$A:$A,0)))</f>
        <v>Restaurants Fast Food</v>
      </c>
      <c r="H1648" s="7" t="str">
        <f t="array" ref="H1648">IF(ISBLANK(E1648), "", INDEX(Categories!$B:$B,MATCH(E1648,Categories!$A:$A,0)))</f>
        <v/>
      </c>
      <c r="I1648" s="7" t="str">
        <f t="array" ref="I1648">IF(ISBLANK(F1648), "", INDEX(Categories!$B:$B,MATCH(F1648,Categories!$A:$A,0)))</f>
        <v/>
      </c>
      <c r="J1648" s="4"/>
      <c r="K1648" s="4"/>
      <c r="L1648" s="4"/>
      <c r="M1648" s="4"/>
      <c r="N1648" s="4"/>
      <c r="O1648" s="4"/>
      <c r="P1648" s="4"/>
      <c r="Q1648" s="4"/>
    </row>
    <row r="1649">
      <c r="A1649" s="5">
        <v>1648.0</v>
      </c>
      <c r="B1649" s="5" t="s">
        <v>2093</v>
      </c>
      <c r="C1649" s="5" t="s">
        <v>34</v>
      </c>
      <c r="D1649" s="6">
        <f>IFERROR(__xludf.DUMMYFUNCTION("SPLIT(MID(C1649,2,LEN(C1649)-2), "","")"),228.0)</f>
        <v>228</v>
      </c>
      <c r="E1649" s="7"/>
      <c r="F1649" s="7"/>
      <c r="G1649" s="2" t="str">
        <f t="array" ref="G1649">IF(ISBLANK(D1649), "", INDEX(Categories!$B:$B,MATCH(D1649,Categories!$A:$A,0)))</f>
        <v>Restaurants</v>
      </c>
      <c r="H1649" s="7" t="str">
        <f t="array" ref="H1649">IF(ISBLANK(E1649), "", INDEX(Categories!$B:$B,MATCH(E1649,Categories!$A:$A,0)))</f>
        <v/>
      </c>
      <c r="I1649" s="7" t="str">
        <f t="array" ref="I1649">IF(ISBLANK(F1649), "", INDEX(Categories!$B:$B,MATCH(F1649,Categories!$A:$A,0)))</f>
        <v/>
      </c>
      <c r="J1649" s="4"/>
      <c r="K1649" s="4"/>
      <c r="L1649" s="4"/>
      <c r="M1649" s="4"/>
      <c r="N1649" s="4"/>
      <c r="O1649" s="4"/>
      <c r="P1649" s="4"/>
      <c r="Q1649" s="4"/>
    </row>
    <row r="1650">
      <c r="A1650" s="5">
        <v>1649.0</v>
      </c>
      <c r="B1650" s="5" t="s">
        <v>2094</v>
      </c>
      <c r="C1650" s="5" t="s">
        <v>34</v>
      </c>
      <c r="D1650" s="6">
        <f>IFERROR(__xludf.DUMMYFUNCTION("SPLIT(MID(C1650,2,LEN(C1650)-2), "","")"),228.0)</f>
        <v>228</v>
      </c>
      <c r="E1650" s="7"/>
      <c r="F1650" s="7"/>
      <c r="G1650" s="2" t="str">
        <f t="array" ref="G1650">IF(ISBLANK(D1650), "", INDEX(Categories!$B:$B,MATCH(D1650,Categories!$A:$A,0)))</f>
        <v>Restaurants</v>
      </c>
      <c r="H1650" s="7" t="str">
        <f t="array" ref="H1650">IF(ISBLANK(E1650), "", INDEX(Categories!$B:$B,MATCH(E1650,Categories!$A:$A,0)))</f>
        <v/>
      </c>
      <c r="I1650" s="7" t="str">
        <f t="array" ref="I1650">IF(ISBLANK(F1650), "", INDEX(Categories!$B:$B,MATCH(F1650,Categories!$A:$A,0)))</f>
        <v/>
      </c>
      <c r="J1650" s="4"/>
      <c r="K1650" s="4"/>
      <c r="L1650" s="4"/>
      <c r="M1650" s="4"/>
      <c r="N1650" s="4"/>
      <c r="O1650" s="4"/>
      <c r="P1650" s="4"/>
      <c r="Q1650" s="4"/>
    </row>
    <row r="1651">
      <c r="A1651" s="5">
        <v>1650.0</v>
      </c>
      <c r="B1651" s="5" t="s">
        <v>2095</v>
      </c>
      <c r="C1651" s="5" t="s">
        <v>34</v>
      </c>
      <c r="D1651" s="6">
        <f>IFERROR(__xludf.DUMMYFUNCTION("SPLIT(MID(C1651,2,LEN(C1651)-2), "","")"),228.0)</f>
        <v>228</v>
      </c>
      <c r="E1651" s="7"/>
      <c r="F1651" s="7"/>
      <c r="G1651" s="2" t="str">
        <f t="array" ref="G1651">IF(ISBLANK(D1651), "", INDEX(Categories!$B:$B,MATCH(D1651,Categories!$A:$A,0)))</f>
        <v>Restaurants</v>
      </c>
      <c r="H1651" s="7" t="str">
        <f t="array" ref="H1651">IF(ISBLANK(E1651), "", INDEX(Categories!$B:$B,MATCH(E1651,Categories!$A:$A,0)))</f>
        <v/>
      </c>
      <c r="I1651" s="7" t="str">
        <f t="array" ref="I1651">IF(ISBLANK(F1651), "", INDEX(Categories!$B:$B,MATCH(F1651,Categories!$A:$A,0)))</f>
        <v/>
      </c>
      <c r="J1651" s="4"/>
      <c r="K1651" s="4"/>
      <c r="L1651" s="4"/>
      <c r="M1651" s="4"/>
      <c r="N1651" s="4"/>
      <c r="O1651" s="4"/>
      <c r="P1651" s="4"/>
      <c r="Q1651" s="4"/>
    </row>
    <row r="1652">
      <c r="A1652" s="5">
        <v>1651.0</v>
      </c>
      <c r="B1652" s="5" t="s">
        <v>2096</v>
      </c>
      <c r="C1652" s="5" t="s">
        <v>1348</v>
      </c>
      <c r="D1652" s="6">
        <f>IFERROR(__xludf.DUMMYFUNCTION("SPLIT(MID(C1652,2,LEN(C1652)-2), "","")"),594.0)</f>
        <v>594</v>
      </c>
      <c r="E1652" s="7"/>
      <c r="F1652" s="7"/>
      <c r="G1652" s="2" t="str">
        <f t="array" ref="G1652">IF(ISBLANK(D1652), "", INDEX(Categories!$B:$B,MATCH(D1652,Categories!$A:$A,0)))</f>
        <v>Juices</v>
      </c>
      <c r="H1652" s="7" t="str">
        <f t="array" ref="H1652">IF(ISBLANK(E1652), "", INDEX(Categories!$B:$B,MATCH(E1652,Categories!$A:$A,0)))</f>
        <v/>
      </c>
      <c r="I1652" s="7" t="str">
        <f t="array" ref="I1652">IF(ISBLANK(F1652), "", INDEX(Categories!$B:$B,MATCH(F1652,Categories!$A:$A,0)))</f>
        <v/>
      </c>
      <c r="J1652" s="4"/>
      <c r="K1652" s="4"/>
      <c r="L1652" s="4"/>
      <c r="M1652" s="4"/>
      <c r="N1652" s="4"/>
      <c r="O1652" s="4"/>
      <c r="P1652" s="4"/>
      <c r="Q1652" s="4"/>
    </row>
    <row r="1653">
      <c r="A1653" s="5">
        <v>1652.0</v>
      </c>
      <c r="B1653" s="5" t="s">
        <v>2097</v>
      </c>
      <c r="C1653" s="5" t="s">
        <v>522</v>
      </c>
      <c r="D1653" s="6">
        <f>IFERROR(__xludf.DUMMYFUNCTION("SPLIT(MID(C1653,2,LEN(C1653)-2), "","")"),683.0)</f>
        <v>683</v>
      </c>
      <c r="E1653" s="7"/>
      <c r="F1653" s="7"/>
      <c r="G1653" s="2" t="str">
        <f t="array" ref="G1653">IF(ISBLANK(D1653), "", INDEX(Categories!$B:$B,MATCH(D1653,Categories!$A:$A,0)))</f>
        <v>Bakeries</v>
      </c>
      <c r="H1653" s="7" t="str">
        <f t="array" ref="H1653">IF(ISBLANK(E1653), "", INDEX(Categories!$B:$B,MATCH(E1653,Categories!$A:$A,0)))</f>
        <v/>
      </c>
      <c r="I1653" s="7" t="str">
        <f t="array" ref="I1653">IF(ISBLANK(F1653), "", INDEX(Categories!$B:$B,MATCH(F1653,Categories!$A:$A,0)))</f>
        <v/>
      </c>
      <c r="J1653" s="4"/>
      <c r="K1653" s="4"/>
      <c r="L1653" s="4"/>
      <c r="M1653" s="4"/>
      <c r="N1653" s="4"/>
      <c r="O1653" s="4"/>
      <c r="P1653" s="4"/>
      <c r="Q1653" s="4"/>
    </row>
    <row r="1654">
      <c r="A1654" s="5">
        <v>1653.0</v>
      </c>
      <c r="B1654" s="5" t="s">
        <v>2098</v>
      </c>
      <c r="C1654" s="5" t="s">
        <v>34</v>
      </c>
      <c r="D1654" s="6">
        <f>IFERROR(__xludf.DUMMYFUNCTION("SPLIT(MID(C1654,2,LEN(C1654)-2), "","")"),228.0)</f>
        <v>228</v>
      </c>
      <c r="E1654" s="7"/>
      <c r="F1654" s="7"/>
      <c r="G1654" s="2" t="str">
        <f t="array" ref="G1654">IF(ISBLANK(D1654), "", INDEX(Categories!$B:$B,MATCH(D1654,Categories!$A:$A,0)))</f>
        <v>Restaurants</v>
      </c>
      <c r="H1654" s="7" t="str">
        <f t="array" ref="H1654">IF(ISBLANK(E1654), "", INDEX(Categories!$B:$B,MATCH(E1654,Categories!$A:$A,0)))</f>
        <v/>
      </c>
      <c r="I1654" s="7" t="str">
        <f t="array" ref="I1654">IF(ISBLANK(F1654), "", INDEX(Categories!$B:$B,MATCH(F1654,Categories!$A:$A,0)))</f>
        <v/>
      </c>
      <c r="J1654" s="4"/>
      <c r="K1654" s="4"/>
      <c r="L1654" s="4"/>
      <c r="M1654" s="4"/>
      <c r="N1654" s="4"/>
      <c r="O1654" s="4"/>
      <c r="P1654" s="4"/>
      <c r="Q1654" s="4"/>
    </row>
    <row r="1655">
      <c r="A1655" s="5">
        <v>1654.0</v>
      </c>
      <c r="B1655" s="5" t="s">
        <v>2099</v>
      </c>
      <c r="C1655" s="5" t="s">
        <v>695</v>
      </c>
      <c r="D1655" s="6">
        <f>IFERROR(__xludf.DUMMYFUNCTION("SPLIT(MID(C1655,2,LEN(C1655)-2), "","")"),237.0)</f>
        <v>237</v>
      </c>
      <c r="E1655" s="7"/>
      <c r="F1655" s="7"/>
      <c r="G1655" s="2" t="str">
        <f t="array" ref="G1655">IF(ISBLANK(D1655), "", INDEX(Categories!$B:$B,MATCH(D1655,Categories!$A:$A,0)))</f>
        <v>Restaurants Chinese</v>
      </c>
      <c r="H1655" s="7" t="str">
        <f t="array" ref="H1655">IF(ISBLANK(E1655), "", INDEX(Categories!$B:$B,MATCH(E1655,Categories!$A:$A,0)))</f>
        <v/>
      </c>
      <c r="I1655" s="7" t="str">
        <f t="array" ref="I1655">IF(ISBLANK(F1655), "", INDEX(Categories!$B:$B,MATCH(F1655,Categories!$A:$A,0)))</f>
        <v/>
      </c>
      <c r="J1655" s="4"/>
      <c r="K1655" s="4"/>
      <c r="L1655" s="4"/>
      <c r="M1655" s="4"/>
      <c r="N1655" s="4"/>
      <c r="O1655" s="4"/>
      <c r="P1655" s="4"/>
      <c r="Q1655" s="4"/>
    </row>
    <row r="1656">
      <c r="A1656" s="5">
        <v>1655.0</v>
      </c>
      <c r="B1656" s="5" t="s">
        <v>2100</v>
      </c>
      <c r="C1656" s="5" t="s">
        <v>695</v>
      </c>
      <c r="D1656" s="6">
        <f>IFERROR(__xludf.DUMMYFUNCTION("SPLIT(MID(C1656,2,LEN(C1656)-2), "","")"),237.0)</f>
        <v>237</v>
      </c>
      <c r="E1656" s="7"/>
      <c r="F1656" s="7"/>
      <c r="G1656" s="2" t="str">
        <f t="array" ref="G1656">IF(ISBLANK(D1656), "", INDEX(Categories!$B:$B,MATCH(D1656,Categories!$A:$A,0)))</f>
        <v>Restaurants Chinese</v>
      </c>
      <c r="H1656" s="7" t="str">
        <f t="array" ref="H1656">IF(ISBLANK(E1656), "", INDEX(Categories!$B:$B,MATCH(E1656,Categories!$A:$A,0)))</f>
        <v/>
      </c>
      <c r="I1656" s="7" t="str">
        <f t="array" ref="I1656">IF(ISBLANK(F1656), "", INDEX(Categories!$B:$B,MATCH(F1656,Categories!$A:$A,0)))</f>
        <v/>
      </c>
      <c r="J1656" s="4"/>
      <c r="K1656" s="4"/>
      <c r="L1656" s="4"/>
      <c r="M1656" s="4"/>
      <c r="N1656" s="4"/>
      <c r="O1656" s="4"/>
      <c r="P1656" s="4"/>
      <c r="Q1656" s="4"/>
    </row>
    <row r="1657">
      <c r="A1657" s="5">
        <v>1656.0</v>
      </c>
      <c r="B1657" s="5" t="s">
        <v>2101</v>
      </c>
      <c r="C1657" s="5" t="s">
        <v>99</v>
      </c>
      <c r="D1657" s="6">
        <f>IFERROR(__xludf.DUMMYFUNCTION("SPLIT(MID(C1657,2,LEN(C1657)-2), "","")"),2331.0)</f>
        <v>2331</v>
      </c>
      <c r="E1657" s="7"/>
      <c r="F1657" s="7"/>
      <c r="G1657" s="2" t="str">
        <f t="array" ref="G1657">IF(ISBLANK(D1657), "", INDEX(Categories!$B:$B,MATCH(D1657,Categories!$A:$A,0)))</f>
        <v>Donuts</v>
      </c>
      <c r="H1657" s="7" t="str">
        <f t="array" ref="H1657">IF(ISBLANK(E1657), "", INDEX(Categories!$B:$B,MATCH(E1657,Categories!$A:$A,0)))</f>
        <v/>
      </c>
      <c r="I1657" s="7" t="str">
        <f t="array" ref="I1657">IF(ISBLANK(F1657), "", INDEX(Categories!$B:$B,MATCH(F1657,Categories!$A:$A,0)))</f>
        <v/>
      </c>
      <c r="J1657" s="4"/>
      <c r="K1657" s="4"/>
      <c r="L1657" s="4"/>
      <c r="M1657" s="4"/>
      <c r="N1657" s="4"/>
      <c r="O1657" s="4"/>
      <c r="P1657" s="4"/>
      <c r="Q1657" s="4"/>
    </row>
    <row r="1658">
      <c r="A1658" s="5">
        <v>1657.0</v>
      </c>
      <c r="B1658" s="5" t="s">
        <v>2102</v>
      </c>
      <c r="C1658" s="5" t="s">
        <v>34</v>
      </c>
      <c r="D1658" s="6">
        <f>IFERROR(__xludf.DUMMYFUNCTION("SPLIT(MID(C1658,2,LEN(C1658)-2), "","")"),228.0)</f>
        <v>228</v>
      </c>
      <c r="E1658" s="7"/>
      <c r="F1658" s="7"/>
      <c r="G1658" s="2" t="str">
        <f t="array" ref="G1658">IF(ISBLANK(D1658), "", INDEX(Categories!$B:$B,MATCH(D1658,Categories!$A:$A,0)))</f>
        <v>Restaurants</v>
      </c>
      <c r="H1658" s="7" t="str">
        <f t="array" ref="H1658">IF(ISBLANK(E1658), "", INDEX(Categories!$B:$B,MATCH(E1658,Categories!$A:$A,0)))</f>
        <v/>
      </c>
      <c r="I1658" s="7" t="str">
        <f t="array" ref="I1658">IF(ISBLANK(F1658), "", INDEX(Categories!$B:$B,MATCH(F1658,Categories!$A:$A,0)))</f>
        <v/>
      </c>
      <c r="J1658" s="4"/>
      <c r="K1658" s="4"/>
      <c r="L1658" s="4"/>
      <c r="M1658" s="4"/>
      <c r="N1658" s="4"/>
      <c r="O1658" s="4"/>
      <c r="P1658" s="4"/>
      <c r="Q1658" s="4"/>
    </row>
    <row r="1659">
      <c r="A1659" s="5">
        <v>1658.0</v>
      </c>
      <c r="B1659" s="5" t="s">
        <v>2103</v>
      </c>
      <c r="C1659" s="5" t="s">
        <v>34</v>
      </c>
      <c r="D1659" s="6">
        <f>IFERROR(__xludf.DUMMYFUNCTION("SPLIT(MID(C1659,2,LEN(C1659)-2), "","")"),228.0)</f>
        <v>228</v>
      </c>
      <c r="E1659" s="7"/>
      <c r="F1659" s="7"/>
      <c r="G1659" s="2" t="str">
        <f t="array" ref="G1659">IF(ISBLANK(D1659), "", INDEX(Categories!$B:$B,MATCH(D1659,Categories!$A:$A,0)))</f>
        <v>Restaurants</v>
      </c>
      <c r="H1659" s="7" t="str">
        <f t="array" ref="H1659">IF(ISBLANK(E1659), "", INDEX(Categories!$B:$B,MATCH(E1659,Categories!$A:$A,0)))</f>
        <v/>
      </c>
      <c r="I1659" s="7" t="str">
        <f t="array" ref="I1659">IF(ISBLANK(F1659), "", INDEX(Categories!$B:$B,MATCH(F1659,Categories!$A:$A,0)))</f>
        <v/>
      </c>
      <c r="J1659" s="4"/>
      <c r="K1659" s="4"/>
      <c r="L1659" s="4"/>
      <c r="M1659" s="4"/>
      <c r="N1659" s="4"/>
      <c r="O1659" s="4"/>
      <c r="P1659" s="4"/>
      <c r="Q1659" s="4"/>
    </row>
    <row r="1660">
      <c r="A1660" s="5">
        <v>1659.0</v>
      </c>
      <c r="B1660" s="5" t="s">
        <v>2104</v>
      </c>
      <c r="C1660" s="5" t="s">
        <v>34</v>
      </c>
      <c r="D1660" s="6">
        <f>IFERROR(__xludf.DUMMYFUNCTION("SPLIT(MID(C1660,2,LEN(C1660)-2), "","")"),228.0)</f>
        <v>228</v>
      </c>
      <c r="E1660" s="7"/>
      <c r="F1660" s="7"/>
      <c r="G1660" s="2" t="str">
        <f t="array" ref="G1660">IF(ISBLANK(D1660), "", INDEX(Categories!$B:$B,MATCH(D1660,Categories!$A:$A,0)))</f>
        <v>Restaurants</v>
      </c>
      <c r="H1660" s="7" t="str">
        <f t="array" ref="H1660">IF(ISBLANK(E1660), "", INDEX(Categories!$B:$B,MATCH(E1660,Categories!$A:$A,0)))</f>
        <v/>
      </c>
      <c r="I1660" s="7" t="str">
        <f t="array" ref="I1660">IF(ISBLANK(F1660), "", INDEX(Categories!$B:$B,MATCH(F1660,Categories!$A:$A,0)))</f>
        <v/>
      </c>
      <c r="J1660" s="4"/>
      <c r="K1660" s="4"/>
      <c r="L1660" s="4"/>
      <c r="M1660" s="4"/>
      <c r="N1660" s="4"/>
      <c r="O1660" s="4"/>
      <c r="P1660" s="4"/>
      <c r="Q1660" s="4"/>
    </row>
    <row r="1661">
      <c r="A1661" s="5">
        <v>1660.0</v>
      </c>
      <c r="B1661" s="5" t="s">
        <v>2105</v>
      </c>
      <c r="C1661" s="5" t="s">
        <v>34</v>
      </c>
      <c r="D1661" s="6">
        <f>IFERROR(__xludf.DUMMYFUNCTION("SPLIT(MID(C1661,2,LEN(C1661)-2), "","")"),228.0)</f>
        <v>228</v>
      </c>
      <c r="E1661" s="7"/>
      <c r="F1661" s="7"/>
      <c r="G1661" s="2" t="str">
        <f t="array" ref="G1661">IF(ISBLANK(D1661), "", INDEX(Categories!$B:$B,MATCH(D1661,Categories!$A:$A,0)))</f>
        <v>Restaurants</v>
      </c>
      <c r="H1661" s="7" t="str">
        <f t="array" ref="H1661">IF(ISBLANK(E1661), "", INDEX(Categories!$B:$B,MATCH(E1661,Categories!$A:$A,0)))</f>
        <v/>
      </c>
      <c r="I1661" s="7" t="str">
        <f t="array" ref="I1661">IF(ISBLANK(F1661), "", INDEX(Categories!$B:$B,MATCH(F1661,Categories!$A:$A,0)))</f>
        <v/>
      </c>
      <c r="J1661" s="4"/>
      <c r="K1661" s="4"/>
      <c r="L1661" s="4"/>
      <c r="M1661" s="4"/>
      <c r="N1661" s="4"/>
      <c r="O1661" s="4"/>
      <c r="P1661" s="4"/>
      <c r="Q1661" s="4"/>
    </row>
    <row r="1662">
      <c r="A1662" s="5">
        <v>1661.0</v>
      </c>
      <c r="B1662" s="5" t="s">
        <v>2106</v>
      </c>
      <c r="C1662" s="5" t="s">
        <v>307</v>
      </c>
      <c r="D1662" s="6">
        <f>IFERROR(__xludf.DUMMYFUNCTION("SPLIT(MID(C1662,2,LEN(C1662)-2), "","")"),241.0)</f>
        <v>241</v>
      </c>
      <c r="E1662" s="7"/>
      <c r="F1662" s="7"/>
      <c r="G1662" s="2" t="str">
        <f t="array" ref="G1662">IF(ISBLANK(D1662), "", INDEX(Categories!$B:$B,MATCH(D1662,Categories!$A:$A,0)))</f>
        <v>Restaurants Mexican</v>
      </c>
      <c r="H1662" s="7" t="str">
        <f t="array" ref="H1662">IF(ISBLANK(E1662), "", INDEX(Categories!$B:$B,MATCH(E1662,Categories!$A:$A,0)))</f>
        <v/>
      </c>
      <c r="I1662" s="7" t="str">
        <f t="array" ref="I1662">IF(ISBLANK(F1662), "", INDEX(Categories!$B:$B,MATCH(F1662,Categories!$A:$A,0)))</f>
        <v/>
      </c>
      <c r="J1662" s="4"/>
      <c r="K1662" s="4"/>
      <c r="L1662" s="4"/>
      <c r="M1662" s="4"/>
      <c r="N1662" s="4"/>
      <c r="O1662" s="4"/>
      <c r="P1662" s="4"/>
      <c r="Q1662" s="4"/>
    </row>
    <row r="1663">
      <c r="A1663" s="5">
        <v>1662.0</v>
      </c>
      <c r="B1663" s="5" t="s">
        <v>2107</v>
      </c>
      <c r="C1663" s="5" t="s">
        <v>34</v>
      </c>
      <c r="D1663" s="6">
        <f>IFERROR(__xludf.DUMMYFUNCTION("SPLIT(MID(C1663,2,LEN(C1663)-2), "","")"),228.0)</f>
        <v>228</v>
      </c>
      <c r="E1663" s="7"/>
      <c r="F1663" s="7"/>
      <c r="G1663" s="2" t="str">
        <f t="array" ref="G1663">IF(ISBLANK(D1663), "", INDEX(Categories!$B:$B,MATCH(D1663,Categories!$A:$A,0)))</f>
        <v>Restaurants</v>
      </c>
      <c r="H1663" s="7" t="str">
        <f t="array" ref="H1663">IF(ISBLANK(E1663), "", INDEX(Categories!$B:$B,MATCH(E1663,Categories!$A:$A,0)))</f>
        <v/>
      </c>
      <c r="I1663" s="7" t="str">
        <f t="array" ref="I1663">IF(ISBLANK(F1663), "", INDEX(Categories!$B:$B,MATCH(F1663,Categories!$A:$A,0)))</f>
        <v/>
      </c>
      <c r="J1663" s="4"/>
      <c r="K1663" s="4"/>
      <c r="L1663" s="4"/>
      <c r="M1663" s="4"/>
      <c r="N1663" s="4"/>
      <c r="O1663" s="4"/>
      <c r="P1663" s="4"/>
      <c r="Q1663" s="4"/>
    </row>
    <row r="1664">
      <c r="A1664" s="5">
        <v>1663.0</v>
      </c>
      <c r="B1664" s="5" t="s">
        <v>2108</v>
      </c>
      <c r="C1664" s="5" t="s">
        <v>1084</v>
      </c>
      <c r="D1664" s="6">
        <f>IFERROR(__xludf.DUMMYFUNCTION("SPLIT(MID(C1664,2,LEN(C1664)-2), "","")"),229.0)</f>
        <v>229</v>
      </c>
      <c r="E1664" s="7"/>
      <c r="F1664" s="7"/>
      <c r="G1664" s="2" t="str">
        <f t="array" ref="G1664">IF(ISBLANK(D1664), "", INDEX(Categories!$B:$B,MATCH(D1664,Categories!$A:$A,0)))</f>
        <v>Cafes</v>
      </c>
      <c r="H1664" s="7" t="str">
        <f t="array" ref="H1664">IF(ISBLANK(E1664), "", INDEX(Categories!$B:$B,MATCH(E1664,Categories!$A:$A,0)))</f>
        <v/>
      </c>
      <c r="I1664" s="7" t="str">
        <f t="array" ref="I1664">IF(ISBLANK(F1664), "", INDEX(Categories!$B:$B,MATCH(F1664,Categories!$A:$A,0)))</f>
        <v/>
      </c>
      <c r="J1664" s="4"/>
      <c r="K1664" s="4"/>
      <c r="L1664" s="4"/>
      <c r="M1664" s="4"/>
      <c r="N1664" s="4"/>
      <c r="O1664" s="4"/>
      <c r="P1664" s="4"/>
      <c r="Q1664" s="4"/>
    </row>
    <row r="1665">
      <c r="A1665" s="5">
        <v>1664.0</v>
      </c>
      <c r="B1665" s="5" t="s">
        <v>2109</v>
      </c>
      <c r="C1665" s="5" t="s">
        <v>34</v>
      </c>
      <c r="D1665" s="6">
        <f>IFERROR(__xludf.DUMMYFUNCTION("SPLIT(MID(C1665,2,LEN(C1665)-2), "","")"),228.0)</f>
        <v>228</v>
      </c>
      <c r="E1665" s="7"/>
      <c r="F1665" s="7"/>
      <c r="G1665" s="2" t="str">
        <f t="array" ref="G1665">IF(ISBLANK(D1665), "", INDEX(Categories!$B:$B,MATCH(D1665,Categories!$A:$A,0)))</f>
        <v>Restaurants</v>
      </c>
      <c r="H1665" s="7" t="str">
        <f t="array" ref="H1665">IF(ISBLANK(E1665), "", INDEX(Categories!$B:$B,MATCH(E1665,Categories!$A:$A,0)))</f>
        <v/>
      </c>
      <c r="I1665" s="7" t="str">
        <f t="array" ref="I1665">IF(ISBLANK(F1665), "", INDEX(Categories!$B:$B,MATCH(F1665,Categories!$A:$A,0)))</f>
        <v/>
      </c>
      <c r="J1665" s="4"/>
      <c r="K1665" s="4"/>
      <c r="L1665" s="4"/>
      <c r="M1665" s="4"/>
      <c r="N1665" s="4"/>
      <c r="O1665" s="4"/>
      <c r="P1665" s="4"/>
      <c r="Q1665" s="4"/>
    </row>
    <row r="1666">
      <c r="A1666" s="5">
        <v>1665.0</v>
      </c>
      <c r="B1666" s="5" t="s">
        <v>2110</v>
      </c>
      <c r="C1666" s="5" t="s">
        <v>34</v>
      </c>
      <c r="D1666" s="6">
        <f>IFERROR(__xludf.DUMMYFUNCTION("SPLIT(MID(C1666,2,LEN(C1666)-2), "","")"),228.0)</f>
        <v>228</v>
      </c>
      <c r="E1666" s="7"/>
      <c r="F1666" s="7"/>
      <c r="G1666" s="2" t="str">
        <f t="array" ref="G1666">IF(ISBLANK(D1666), "", INDEX(Categories!$B:$B,MATCH(D1666,Categories!$A:$A,0)))</f>
        <v>Restaurants</v>
      </c>
      <c r="H1666" s="7" t="str">
        <f t="array" ref="H1666">IF(ISBLANK(E1666), "", INDEX(Categories!$B:$B,MATCH(E1666,Categories!$A:$A,0)))</f>
        <v/>
      </c>
      <c r="I1666" s="7" t="str">
        <f t="array" ref="I1666">IF(ISBLANK(F1666), "", INDEX(Categories!$B:$B,MATCH(F1666,Categories!$A:$A,0)))</f>
        <v/>
      </c>
      <c r="J1666" s="4"/>
      <c r="K1666" s="4"/>
      <c r="L1666" s="4"/>
      <c r="M1666" s="4"/>
      <c r="N1666" s="4"/>
      <c r="O1666" s="4"/>
      <c r="P1666" s="4"/>
      <c r="Q1666" s="4"/>
    </row>
    <row r="1667">
      <c r="A1667" s="5">
        <v>1666.0</v>
      </c>
      <c r="B1667" s="5" t="s">
        <v>2111</v>
      </c>
      <c r="C1667" s="5" t="s">
        <v>60</v>
      </c>
      <c r="D1667" s="6">
        <f>IFERROR(__xludf.DUMMYFUNCTION("SPLIT(MID(C1667,2,LEN(C1667)-2), "","")"),240.0)</f>
        <v>240</v>
      </c>
      <c r="E1667" s="7"/>
      <c r="F1667" s="7"/>
      <c r="G1667" s="2" t="str">
        <f t="array" ref="G1667">IF(ISBLANK(D1667), "", INDEX(Categories!$B:$B,MATCH(D1667,Categories!$A:$A,0)))</f>
        <v>Restaurants Fast Food</v>
      </c>
      <c r="H1667" s="7" t="str">
        <f t="array" ref="H1667">IF(ISBLANK(E1667), "", INDEX(Categories!$B:$B,MATCH(E1667,Categories!$A:$A,0)))</f>
        <v/>
      </c>
      <c r="I1667" s="7" t="str">
        <f t="array" ref="I1667">IF(ISBLANK(F1667), "", INDEX(Categories!$B:$B,MATCH(F1667,Categories!$A:$A,0)))</f>
        <v/>
      </c>
      <c r="J1667" s="4"/>
      <c r="K1667" s="4"/>
      <c r="L1667" s="4"/>
      <c r="M1667" s="4"/>
      <c r="N1667" s="4"/>
      <c r="O1667" s="4"/>
      <c r="P1667" s="4"/>
      <c r="Q1667" s="4"/>
    </row>
    <row r="1668">
      <c r="A1668" s="5">
        <v>1667.0</v>
      </c>
      <c r="B1668" s="5" t="s">
        <v>2112</v>
      </c>
      <c r="C1668" s="5" t="s">
        <v>60</v>
      </c>
      <c r="D1668" s="6">
        <f>IFERROR(__xludf.DUMMYFUNCTION("SPLIT(MID(C1668,2,LEN(C1668)-2), "","")"),240.0)</f>
        <v>240</v>
      </c>
      <c r="E1668" s="7"/>
      <c r="F1668" s="7"/>
      <c r="G1668" s="2" t="str">
        <f t="array" ref="G1668">IF(ISBLANK(D1668), "", INDEX(Categories!$B:$B,MATCH(D1668,Categories!$A:$A,0)))</f>
        <v>Restaurants Fast Food</v>
      </c>
      <c r="H1668" s="7" t="str">
        <f t="array" ref="H1668">IF(ISBLANK(E1668), "", INDEX(Categories!$B:$B,MATCH(E1668,Categories!$A:$A,0)))</f>
        <v/>
      </c>
      <c r="I1668" s="7" t="str">
        <f t="array" ref="I1668">IF(ISBLANK(F1668), "", INDEX(Categories!$B:$B,MATCH(F1668,Categories!$A:$A,0)))</f>
        <v/>
      </c>
      <c r="J1668" s="4"/>
      <c r="K1668" s="4"/>
      <c r="L1668" s="4"/>
      <c r="M1668" s="4"/>
      <c r="N1668" s="4"/>
      <c r="O1668" s="4"/>
      <c r="P1668" s="4"/>
      <c r="Q1668" s="4"/>
    </row>
    <row r="1669">
      <c r="A1669" s="5">
        <v>1668.0</v>
      </c>
      <c r="B1669" s="5" t="s">
        <v>2113</v>
      </c>
      <c r="C1669" s="5" t="s">
        <v>307</v>
      </c>
      <c r="D1669" s="6">
        <f>IFERROR(__xludf.DUMMYFUNCTION("SPLIT(MID(C1669,2,LEN(C1669)-2), "","")"),241.0)</f>
        <v>241</v>
      </c>
      <c r="E1669" s="7"/>
      <c r="F1669" s="7"/>
      <c r="G1669" s="2" t="str">
        <f t="array" ref="G1669">IF(ISBLANK(D1669), "", INDEX(Categories!$B:$B,MATCH(D1669,Categories!$A:$A,0)))</f>
        <v>Restaurants Mexican</v>
      </c>
      <c r="H1669" s="7" t="str">
        <f t="array" ref="H1669">IF(ISBLANK(E1669), "", INDEX(Categories!$B:$B,MATCH(E1669,Categories!$A:$A,0)))</f>
        <v/>
      </c>
      <c r="I1669" s="7" t="str">
        <f t="array" ref="I1669">IF(ISBLANK(F1669), "", INDEX(Categories!$B:$B,MATCH(F1669,Categories!$A:$A,0)))</f>
        <v/>
      </c>
      <c r="J1669" s="4"/>
      <c r="K1669" s="4"/>
      <c r="L1669" s="4"/>
      <c r="M1669" s="4"/>
      <c r="N1669" s="4"/>
      <c r="O1669" s="4"/>
      <c r="P1669" s="4"/>
      <c r="Q1669" s="4"/>
    </row>
    <row r="1670">
      <c r="A1670" s="5">
        <v>1669.0</v>
      </c>
      <c r="B1670" s="5" t="s">
        <v>2114</v>
      </c>
      <c r="C1670" s="5" t="s">
        <v>34</v>
      </c>
      <c r="D1670" s="6">
        <f>IFERROR(__xludf.DUMMYFUNCTION("SPLIT(MID(C1670,2,LEN(C1670)-2), "","")"),228.0)</f>
        <v>228</v>
      </c>
      <c r="E1670" s="7"/>
      <c r="F1670" s="7"/>
      <c r="G1670" s="2" t="str">
        <f t="array" ref="G1670">IF(ISBLANK(D1670), "", INDEX(Categories!$B:$B,MATCH(D1670,Categories!$A:$A,0)))</f>
        <v>Restaurants</v>
      </c>
      <c r="H1670" s="7" t="str">
        <f t="array" ref="H1670">IF(ISBLANK(E1670), "", INDEX(Categories!$B:$B,MATCH(E1670,Categories!$A:$A,0)))</f>
        <v/>
      </c>
      <c r="I1670" s="7" t="str">
        <f t="array" ref="I1670">IF(ISBLANK(F1670), "", INDEX(Categories!$B:$B,MATCH(F1670,Categories!$A:$A,0)))</f>
        <v/>
      </c>
      <c r="J1670" s="4"/>
      <c r="K1670" s="4"/>
      <c r="L1670" s="4"/>
      <c r="M1670" s="4"/>
      <c r="N1670" s="4"/>
      <c r="O1670" s="4"/>
      <c r="P1670" s="4"/>
      <c r="Q1670" s="4"/>
    </row>
    <row r="1671">
      <c r="A1671" s="5">
        <v>1670.0</v>
      </c>
      <c r="B1671" s="5" t="s">
        <v>2115</v>
      </c>
      <c r="C1671" s="5" t="s">
        <v>99</v>
      </c>
      <c r="D1671" s="6">
        <f>IFERROR(__xludf.DUMMYFUNCTION("SPLIT(MID(C1671,2,LEN(C1671)-2), "","")"),2331.0)</f>
        <v>2331</v>
      </c>
      <c r="E1671" s="7"/>
      <c r="F1671" s="7"/>
      <c r="G1671" s="2" t="str">
        <f t="array" ref="G1671">IF(ISBLANK(D1671), "", INDEX(Categories!$B:$B,MATCH(D1671,Categories!$A:$A,0)))</f>
        <v>Donuts</v>
      </c>
      <c r="H1671" s="7" t="str">
        <f t="array" ref="H1671">IF(ISBLANK(E1671), "", INDEX(Categories!$B:$B,MATCH(E1671,Categories!$A:$A,0)))</f>
        <v/>
      </c>
      <c r="I1671" s="7" t="str">
        <f t="array" ref="I1671">IF(ISBLANK(F1671), "", INDEX(Categories!$B:$B,MATCH(F1671,Categories!$A:$A,0)))</f>
        <v/>
      </c>
      <c r="J1671" s="4"/>
      <c r="K1671" s="4"/>
      <c r="L1671" s="4"/>
      <c r="M1671" s="4"/>
      <c r="N1671" s="4"/>
      <c r="O1671" s="4"/>
      <c r="P1671" s="4"/>
      <c r="Q1671" s="4"/>
    </row>
    <row r="1672">
      <c r="A1672" s="5">
        <v>1671.0</v>
      </c>
      <c r="B1672" s="5" t="s">
        <v>2116</v>
      </c>
      <c r="C1672" s="5" t="s">
        <v>307</v>
      </c>
      <c r="D1672" s="6">
        <f>IFERROR(__xludf.DUMMYFUNCTION("SPLIT(MID(C1672,2,LEN(C1672)-2), "","")"),241.0)</f>
        <v>241</v>
      </c>
      <c r="E1672" s="7"/>
      <c r="F1672" s="7"/>
      <c r="G1672" s="2" t="str">
        <f t="array" ref="G1672">IF(ISBLANK(D1672), "", INDEX(Categories!$B:$B,MATCH(D1672,Categories!$A:$A,0)))</f>
        <v>Restaurants Mexican</v>
      </c>
      <c r="H1672" s="7" t="str">
        <f t="array" ref="H1672">IF(ISBLANK(E1672), "", INDEX(Categories!$B:$B,MATCH(E1672,Categories!$A:$A,0)))</f>
        <v/>
      </c>
      <c r="I1672" s="7" t="str">
        <f t="array" ref="I1672">IF(ISBLANK(F1672), "", INDEX(Categories!$B:$B,MATCH(F1672,Categories!$A:$A,0)))</f>
        <v/>
      </c>
      <c r="J1672" s="4"/>
      <c r="K1672" s="4"/>
      <c r="L1672" s="4"/>
      <c r="M1672" s="4"/>
      <c r="N1672" s="4"/>
      <c r="O1672" s="4"/>
      <c r="P1672" s="4"/>
      <c r="Q1672" s="4"/>
    </row>
    <row r="1673">
      <c r="A1673" s="5">
        <v>1672.0</v>
      </c>
      <c r="B1673" s="5" t="s">
        <v>2117</v>
      </c>
      <c r="C1673" s="5" t="s">
        <v>34</v>
      </c>
      <c r="D1673" s="6">
        <f>IFERROR(__xludf.DUMMYFUNCTION("SPLIT(MID(C1673,2,LEN(C1673)-2), "","")"),228.0)</f>
        <v>228</v>
      </c>
      <c r="E1673" s="7"/>
      <c r="F1673" s="7"/>
      <c r="G1673" s="2" t="str">
        <f t="array" ref="G1673">IF(ISBLANK(D1673), "", INDEX(Categories!$B:$B,MATCH(D1673,Categories!$A:$A,0)))</f>
        <v>Restaurants</v>
      </c>
      <c r="H1673" s="7" t="str">
        <f t="array" ref="H1673">IF(ISBLANK(E1673), "", INDEX(Categories!$B:$B,MATCH(E1673,Categories!$A:$A,0)))</f>
        <v/>
      </c>
      <c r="I1673" s="7" t="str">
        <f t="array" ref="I1673">IF(ISBLANK(F1673), "", INDEX(Categories!$B:$B,MATCH(F1673,Categories!$A:$A,0)))</f>
        <v/>
      </c>
      <c r="J1673" s="4"/>
      <c r="K1673" s="4"/>
      <c r="L1673" s="4"/>
      <c r="M1673" s="4"/>
      <c r="N1673" s="4"/>
      <c r="O1673" s="4"/>
      <c r="P1673" s="4"/>
      <c r="Q1673" s="4"/>
    </row>
    <row r="1674">
      <c r="A1674" s="5">
        <v>1673.0</v>
      </c>
      <c r="B1674" s="5" t="s">
        <v>2118</v>
      </c>
      <c r="C1674" s="5" t="s">
        <v>34</v>
      </c>
      <c r="D1674" s="6">
        <f>IFERROR(__xludf.DUMMYFUNCTION("SPLIT(MID(C1674,2,LEN(C1674)-2), "","")"),228.0)</f>
        <v>228</v>
      </c>
      <c r="E1674" s="7"/>
      <c r="F1674" s="7"/>
      <c r="G1674" s="2" t="str">
        <f t="array" ref="G1674">IF(ISBLANK(D1674), "", INDEX(Categories!$B:$B,MATCH(D1674,Categories!$A:$A,0)))</f>
        <v>Restaurants</v>
      </c>
      <c r="H1674" s="7" t="str">
        <f t="array" ref="H1674">IF(ISBLANK(E1674), "", INDEX(Categories!$B:$B,MATCH(E1674,Categories!$A:$A,0)))</f>
        <v/>
      </c>
      <c r="I1674" s="7" t="str">
        <f t="array" ref="I1674">IF(ISBLANK(F1674), "", INDEX(Categories!$B:$B,MATCH(F1674,Categories!$A:$A,0)))</f>
        <v/>
      </c>
      <c r="J1674" s="4"/>
      <c r="K1674" s="4"/>
      <c r="L1674" s="4"/>
      <c r="M1674" s="4"/>
      <c r="N1674" s="4"/>
      <c r="O1674" s="4"/>
      <c r="P1674" s="4"/>
      <c r="Q1674" s="4"/>
    </row>
    <row r="1675">
      <c r="A1675" s="5">
        <v>1674.0</v>
      </c>
      <c r="B1675" s="5" t="s">
        <v>2119</v>
      </c>
      <c r="C1675" s="5" t="s">
        <v>62</v>
      </c>
      <c r="D1675" s="6">
        <f>IFERROR(__xludf.DUMMYFUNCTION("SPLIT(MID(C1675,2,LEN(C1675)-2), "","")"),242.0)</f>
        <v>242</v>
      </c>
      <c r="E1675" s="7"/>
      <c r="F1675" s="7"/>
      <c r="G1675" s="2" t="str">
        <f t="array" ref="G1675">IF(ISBLANK(D1675), "", INDEX(Categories!$B:$B,MATCH(D1675,Categories!$A:$A,0)))</f>
        <v>Restaurants Pizza</v>
      </c>
      <c r="H1675" s="7" t="str">
        <f t="array" ref="H1675">IF(ISBLANK(E1675), "", INDEX(Categories!$B:$B,MATCH(E1675,Categories!$A:$A,0)))</f>
        <v/>
      </c>
      <c r="I1675" s="7" t="str">
        <f t="array" ref="I1675">IF(ISBLANK(F1675), "", INDEX(Categories!$B:$B,MATCH(F1675,Categories!$A:$A,0)))</f>
        <v/>
      </c>
      <c r="J1675" s="4"/>
      <c r="K1675" s="4"/>
      <c r="L1675" s="4"/>
      <c r="M1675" s="4"/>
      <c r="N1675" s="4"/>
      <c r="O1675" s="4"/>
      <c r="P1675" s="4"/>
      <c r="Q1675" s="4"/>
    </row>
    <row r="1676">
      <c r="A1676" s="5">
        <v>1675.0</v>
      </c>
      <c r="B1676" s="5" t="s">
        <v>2120</v>
      </c>
      <c r="C1676" s="5" t="s">
        <v>34</v>
      </c>
      <c r="D1676" s="6">
        <f>IFERROR(__xludf.DUMMYFUNCTION("SPLIT(MID(C1676,2,LEN(C1676)-2), "","")"),228.0)</f>
        <v>228</v>
      </c>
      <c r="E1676" s="7"/>
      <c r="F1676" s="7"/>
      <c r="G1676" s="2" t="str">
        <f t="array" ref="G1676">IF(ISBLANK(D1676), "", INDEX(Categories!$B:$B,MATCH(D1676,Categories!$A:$A,0)))</f>
        <v>Restaurants</v>
      </c>
      <c r="H1676" s="7" t="str">
        <f t="array" ref="H1676">IF(ISBLANK(E1676), "", INDEX(Categories!$B:$B,MATCH(E1676,Categories!$A:$A,0)))</f>
        <v/>
      </c>
      <c r="I1676" s="7" t="str">
        <f t="array" ref="I1676">IF(ISBLANK(F1676), "", INDEX(Categories!$B:$B,MATCH(F1676,Categories!$A:$A,0)))</f>
        <v/>
      </c>
      <c r="J1676" s="4"/>
      <c r="K1676" s="4"/>
      <c r="L1676" s="4"/>
      <c r="M1676" s="4"/>
      <c r="N1676" s="4"/>
      <c r="O1676" s="4"/>
      <c r="P1676" s="4"/>
      <c r="Q1676" s="4"/>
    </row>
    <row r="1677">
      <c r="A1677" s="5">
        <v>1676.0</v>
      </c>
      <c r="B1677" s="5" t="s">
        <v>2121</v>
      </c>
      <c r="C1677" s="5" t="s">
        <v>34</v>
      </c>
      <c r="D1677" s="6">
        <f>IFERROR(__xludf.DUMMYFUNCTION("SPLIT(MID(C1677,2,LEN(C1677)-2), "","")"),228.0)</f>
        <v>228</v>
      </c>
      <c r="E1677" s="7"/>
      <c r="F1677" s="7"/>
      <c r="G1677" s="2" t="str">
        <f t="array" ref="G1677">IF(ISBLANK(D1677), "", INDEX(Categories!$B:$B,MATCH(D1677,Categories!$A:$A,0)))</f>
        <v>Restaurants</v>
      </c>
      <c r="H1677" s="7" t="str">
        <f t="array" ref="H1677">IF(ISBLANK(E1677), "", INDEX(Categories!$B:$B,MATCH(E1677,Categories!$A:$A,0)))</f>
        <v/>
      </c>
      <c r="I1677" s="7" t="str">
        <f t="array" ref="I1677">IF(ISBLANK(F1677), "", INDEX(Categories!$B:$B,MATCH(F1677,Categories!$A:$A,0)))</f>
        <v/>
      </c>
      <c r="J1677" s="4"/>
      <c r="K1677" s="4"/>
      <c r="L1677" s="4"/>
      <c r="M1677" s="4"/>
      <c r="N1677" s="4"/>
      <c r="O1677" s="4"/>
      <c r="P1677" s="4"/>
      <c r="Q1677" s="4"/>
    </row>
    <row r="1678">
      <c r="A1678" s="5">
        <v>1677.0</v>
      </c>
      <c r="B1678" s="5" t="s">
        <v>2122</v>
      </c>
      <c r="C1678" s="5" t="s">
        <v>62</v>
      </c>
      <c r="D1678" s="6">
        <f>IFERROR(__xludf.DUMMYFUNCTION("SPLIT(MID(C1678,2,LEN(C1678)-2), "","")"),242.0)</f>
        <v>242</v>
      </c>
      <c r="E1678" s="7"/>
      <c r="F1678" s="7"/>
      <c r="G1678" s="2" t="str">
        <f t="array" ref="G1678">IF(ISBLANK(D1678), "", INDEX(Categories!$B:$B,MATCH(D1678,Categories!$A:$A,0)))</f>
        <v>Restaurants Pizza</v>
      </c>
      <c r="H1678" s="7" t="str">
        <f t="array" ref="H1678">IF(ISBLANK(E1678), "", INDEX(Categories!$B:$B,MATCH(E1678,Categories!$A:$A,0)))</f>
        <v/>
      </c>
      <c r="I1678" s="7" t="str">
        <f t="array" ref="I1678">IF(ISBLANK(F1678), "", INDEX(Categories!$B:$B,MATCH(F1678,Categories!$A:$A,0)))</f>
        <v/>
      </c>
      <c r="J1678" s="4"/>
      <c r="K1678" s="4"/>
      <c r="L1678" s="4"/>
      <c r="M1678" s="4"/>
      <c r="N1678" s="4"/>
      <c r="O1678" s="4"/>
      <c r="P1678" s="4"/>
      <c r="Q1678" s="4"/>
    </row>
    <row r="1679">
      <c r="A1679" s="5">
        <v>1678.0</v>
      </c>
      <c r="B1679" s="5" t="s">
        <v>2123</v>
      </c>
      <c r="C1679" s="5" t="s">
        <v>1286</v>
      </c>
      <c r="D1679" s="6">
        <f>IFERROR(__xludf.DUMMYFUNCTION("SPLIT(MID(C1679,2,LEN(C1679)-2), "","")"),1100.0)</f>
        <v>1100</v>
      </c>
      <c r="E1679" s="7"/>
      <c r="F1679" s="7"/>
      <c r="G1679" s="2" t="str">
        <f t="array" ref="G1679">IF(ISBLANK(D1679), "", INDEX(Categories!$B:$B,MATCH(D1679,Categories!$A:$A,0)))</f>
        <v>Bars Grills &amp; Pubs</v>
      </c>
      <c r="H1679" s="7" t="str">
        <f t="array" ref="H1679">IF(ISBLANK(E1679), "", INDEX(Categories!$B:$B,MATCH(E1679,Categories!$A:$A,0)))</f>
        <v/>
      </c>
      <c r="I1679" s="7" t="str">
        <f t="array" ref="I1679">IF(ISBLANK(F1679), "", INDEX(Categories!$B:$B,MATCH(F1679,Categories!$A:$A,0)))</f>
        <v/>
      </c>
      <c r="J1679" s="4"/>
      <c r="K1679" s="4"/>
      <c r="L1679" s="4"/>
      <c r="M1679" s="4"/>
      <c r="N1679" s="4"/>
      <c r="O1679" s="4"/>
      <c r="P1679" s="4"/>
      <c r="Q1679" s="4"/>
    </row>
    <row r="1680">
      <c r="A1680" s="5">
        <v>1679.0</v>
      </c>
      <c r="B1680" s="5" t="s">
        <v>2124</v>
      </c>
      <c r="C1680" s="5" t="s">
        <v>34</v>
      </c>
      <c r="D1680" s="6">
        <f>IFERROR(__xludf.DUMMYFUNCTION("SPLIT(MID(C1680,2,LEN(C1680)-2), "","")"),228.0)</f>
        <v>228</v>
      </c>
      <c r="E1680" s="7"/>
      <c r="F1680" s="7"/>
      <c r="G1680" s="2" t="str">
        <f t="array" ref="G1680">IF(ISBLANK(D1680), "", INDEX(Categories!$B:$B,MATCH(D1680,Categories!$A:$A,0)))</f>
        <v>Restaurants</v>
      </c>
      <c r="H1680" s="7" t="str">
        <f t="array" ref="H1680">IF(ISBLANK(E1680), "", INDEX(Categories!$B:$B,MATCH(E1680,Categories!$A:$A,0)))</f>
        <v/>
      </c>
      <c r="I1680" s="7" t="str">
        <f t="array" ref="I1680">IF(ISBLANK(F1680), "", INDEX(Categories!$B:$B,MATCH(F1680,Categories!$A:$A,0)))</f>
        <v/>
      </c>
      <c r="J1680" s="4"/>
      <c r="K1680" s="4"/>
      <c r="L1680" s="4"/>
      <c r="M1680" s="4"/>
      <c r="N1680" s="4"/>
      <c r="O1680" s="4"/>
      <c r="P1680" s="4"/>
      <c r="Q1680" s="4"/>
    </row>
    <row r="1681">
      <c r="A1681" s="5">
        <v>1680.0</v>
      </c>
      <c r="B1681" s="5" t="s">
        <v>2125</v>
      </c>
      <c r="C1681" s="5" t="s">
        <v>34</v>
      </c>
      <c r="D1681" s="6">
        <f>IFERROR(__xludf.DUMMYFUNCTION("SPLIT(MID(C1681,2,LEN(C1681)-2), "","")"),228.0)</f>
        <v>228</v>
      </c>
      <c r="E1681" s="7"/>
      <c r="F1681" s="7"/>
      <c r="G1681" s="2" t="str">
        <f t="array" ref="G1681">IF(ISBLANK(D1681), "", INDEX(Categories!$B:$B,MATCH(D1681,Categories!$A:$A,0)))</f>
        <v>Restaurants</v>
      </c>
      <c r="H1681" s="7" t="str">
        <f t="array" ref="H1681">IF(ISBLANK(E1681), "", INDEX(Categories!$B:$B,MATCH(E1681,Categories!$A:$A,0)))</f>
        <v/>
      </c>
      <c r="I1681" s="7" t="str">
        <f t="array" ref="I1681">IF(ISBLANK(F1681), "", INDEX(Categories!$B:$B,MATCH(F1681,Categories!$A:$A,0)))</f>
        <v/>
      </c>
      <c r="J1681" s="4"/>
      <c r="K1681" s="4"/>
      <c r="L1681" s="4"/>
      <c r="M1681" s="4"/>
      <c r="N1681" s="4"/>
      <c r="O1681" s="4"/>
      <c r="P1681" s="4"/>
      <c r="Q1681" s="4"/>
    </row>
    <row r="1682">
      <c r="A1682" s="5">
        <v>1681.0</v>
      </c>
      <c r="B1682" s="5" t="s">
        <v>2126</v>
      </c>
      <c r="C1682" s="5" t="s">
        <v>34</v>
      </c>
      <c r="D1682" s="6">
        <f>IFERROR(__xludf.DUMMYFUNCTION("SPLIT(MID(C1682,2,LEN(C1682)-2), "","")"),228.0)</f>
        <v>228</v>
      </c>
      <c r="E1682" s="7"/>
      <c r="F1682" s="7"/>
      <c r="G1682" s="2" t="str">
        <f t="array" ref="G1682">IF(ISBLANK(D1682), "", INDEX(Categories!$B:$B,MATCH(D1682,Categories!$A:$A,0)))</f>
        <v>Restaurants</v>
      </c>
      <c r="H1682" s="7" t="str">
        <f t="array" ref="H1682">IF(ISBLANK(E1682), "", INDEX(Categories!$B:$B,MATCH(E1682,Categories!$A:$A,0)))</f>
        <v/>
      </c>
      <c r="I1682" s="7" t="str">
        <f t="array" ref="I1682">IF(ISBLANK(F1682), "", INDEX(Categories!$B:$B,MATCH(F1682,Categories!$A:$A,0)))</f>
        <v/>
      </c>
      <c r="J1682" s="4"/>
      <c r="K1682" s="4"/>
      <c r="L1682" s="4"/>
      <c r="M1682" s="4"/>
      <c r="N1682" s="4"/>
      <c r="O1682" s="4"/>
      <c r="P1682" s="4"/>
      <c r="Q1682" s="4"/>
    </row>
    <row r="1683">
      <c r="A1683" s="5">
        <v>1682.0</v>
      </c>
      <c r="B1683" s="5" t="s">
        <v>2127</v>
      </c>
      <c r="C1683" s="5" t="s">
        <v>34</v>
      </c>
      <c r="D1683" s="6">
        <f>IFERROR(__xludf.DUMMYFUNCTION("SPLIT(MID(C1683,2,LEN(C1683)-2), "","")"),228.0)</f>
        <v>228</v>
      </c>
      <c r="E1683" s="7"/>
      <c r="F1683" s="7"/>
      <c r="G1683" s="2" t="str">
        <f t="array" ref="G1683">IF(ISBLANK(D1683), "", INDEX(Categories!$B:$B,MATCH(D1683,Categories!$A:$A,0)))</f>
        <v>Restaurants</v>
      </c>
      <c r="H1683" s="7" t="str">
        <f t="array" ref="H1683">IF(ISBLANK(E1683), "", INDEX(Categories!$B:$B,MATCH(E1683,Categories!$A:$A,0)))</f>
        <v/>
      </c>
      <c r="I1683" s="7" t="str">
        <f t="array" ref="I1683">IF(ISBLANK(F1683), "", INDEX(Categories!$B:$B,MATCH(F1683,Categories!$A:$A,0)))</f>
        <v/>
      </c>
      <c r="J1683" s="4"/>
      <c r="K1683" s="4"/>
      <c r="L1683" s="4"/>
      <c r="M1683" s="4"/>
      <c r="N1683" s="4"/>
      <c r="O1683" s="4"/>
      <c r="P1683" s="4"/>
      <c r="Q1683" s="4"/>
    </row>
    <row r="1684">
      <c r="A1684" s="5">
        <v>1683.0</v>
      </c>
      <c r="B1684" s="5" t="s">
        <v>2128</v>
      </c>
      <c r="C1684" s="5" t="s">
        <v>34</v>
      </c>
      <c r="D1684" s="6">
        <f>IFERROR(__xludf.DUMMYFUNCTION("SPLIT(MID(C1684,2,LEN(C1684)-2), "","")"),228.0)</f>
        <v>228</v>
      </c>
      <c r="E1684" s="7"/>
      <c r="F1684" s="7"/>
      <c r="G1684" s="2" t="str">
        <f t="array" ref="G1684">IF(ISBLANK(D1684), "", INDEX(Categories!$B:$B,MATCH(D1684,Categories!$A:$A,0)))</f>
        <v>Restaurants</v>
      </c>
      <c r="H1684" s="7" t="str">
        <f t="array" ref="H1684">IF(ISBLANK(E1684), "", INDEX(Categories!$B:$B,MATCH(E1684,Categories!$A:$A,0)))</f>
        <v/>
      </c>
      <c r="I1684" s="7" t="str">
        <f t="array" ref="I1684">IF(ISBLANK(F1684), "", INDEX(Categories!$B:$B,MATCH(F1684,Categories!$A:$A,0)))</f>
        <v/>
      </c>
      <c r="J1684" s="4"/>
      <c r="K1684" s="4"/>
      <c r="L1684" s="4"/>
      <c r="M1684" s="4"/>
      <c r="N1684" s="4"/>
      <c r="O1684" s="4"/>
      <c r="P1684" s="4"/>
      <c r="Q1684" s="4"/>
    </row>
    <row r="1685">
      <c r="A1685" s="5">
        <v>1684.0</v>
      </c>
      <c r="B1685" s="5" t="s">
        <v>2129</v>
      </c>
      <c r="C1685" s="5" t="s">
        <v>34</v>
      </c>
      <c r="D1685" s="6">
        <f>IFERROR(__xludf.DUMMYFUNCTION("SPLIT(MID(C1685,2,LEN(C1685)-2), "","")"),228.0)</f>
        <v>228</v>
      </c>
      <c r="E1685" s="7"/>
      <c r="F1685" s="7"/>
      <c r="G1685" s="2" t="str">
        <f t="array" ref="G1685">IF(ISBLANK(D1685), "", INDEX(Categories!$B:$B,MATCH(D1685,Categories!$A:$A,0)))</f>
        <v>Restaurants</v>
      </c>
      <c r="H1685" s="7" t="str">
        <f t="array" ref="H1685">IF(ISBLANK(E1685), "", INDEX(Categories!$B:$B,MATCH(E1685,Categories!$A:$A,0)))</f>
        <v/>
      </c>
      <c r="I1685" s="7" t="str">
        <f t="array" ref="I1685">IF(ISBLANK(F1685), "", INDEX(Categories!$B:$B,MATCH(F1685,Categories!$A:$A,0)))</f>
        <v/>
      </c>
      <c r="J1685" s="4"/>
      <c r="K1685" s="4"/>
      <c r="L1685" s="4"/>
      <c r="M1685" s="4"/>
      <c r="N1685" s="4"/>
      <c r="O1685" s="4"/>
      <c r="P1685" s="4"/>
      <c r="Q1685" s="4"/>
    </row>
    <row r="1686">
      <c r="A1686" s="5">
        <v>1685.0</v>
      </c>
      <c r="B1686" s="5" t="s">
        <v>2130</v>
      </c>
      <c r="C1686" s="5" t="s">
        <v>307</v>
      </c>
      <c r="D1686" s="6">
        <f>IFERROR(__xludf.DUMMYFUNCTION("SPLIT(MID(C1686,2,LEN(C1686)-2), "","")"),241.0)</f>
        <v>241</v>
      </c>
      <c r="E1686" s="7"/>
      <c r="F1686" s="7"/>
      <c r="G1686" s="2" t="str">
        <f t="array" ref="G1686">IF(ISBLANK(D1686), "", INDEX(Categories!$B:$B,MATCH(D1686,Categories!$A:$A,0)))</f>
        <v>Restaurants Mexican</v>
      </c>
      <c r="H1686" s="7" t="str">
        <f t="array" ref="H1686">IF(ISBLANK(E1686), "", INDEX(Categories!$B:$B,MATCH(E1686,Categories!$A:$A,0)))</f>
        <v/>
      </c>
      <c r="I1686" s="7" t="str">
        <f t="array" ref="I1686">IF(ISBLANK(F1686), "", INDEX(Categories!$B:$B,MATCH(F1686,Categories!$A:$A,0)))</f>
        <v/>
      </c>
      <c r="J1686" s="4"/>
      <c r="K1686" s="4"/>
      <c r="L1686" s="4"/>
      <c r="M1686" s="4"/>
      <c r="N1686" s="4"/>
      <c r="O1686" s="4"/>
      <c r="P1686" s="4"/>
      <c r="Q1686" s="4"/>
    </row>
    <row r="1687">
      <c r="A1687" s="5">
        <v>1686.0</v>
      </c>
      <c r="B1687" s="5" t="s">
        <v>2131</v>
      </c>
      <c r="C1687" s="5" t="s">
        <v>60</v>
      </c>
      <c r="D1687" s="6">
        <f>IFERROR(__xludf.DUMMYFUNCTION("SPLIT(MID(C1687,2,LEN(C1687)-2), "","")"),240.0)</f>
        <v>240</v>
      </c>
      <c r="E1687" s="7"/>
      <c r="F1687" s="7"/>
      <c r="G1687" s="2" t="str">
        <f t="array" ref="G1687">IF(ISBLANK(D1687), "", INDEX(Categories!$B:$B,MATCH(D1687,Categories!$A:$A,0)))</f>
        <v>Restaurants Fast Food</v>
      </c>
      <c r="H1687" s="7" t="str">
        <f t="array" ref="H1687">IF(ISBLANK(E1687), "", INDEX(Categories!$B:$B,MATCH(E1687,Categories!$A:$A,0)))</f>
        <v/>
      </c>
      <c r="I1687" s="7" t="str">
        <f t="array" ref="I1687">IF(ISBLANK(F1687), "", INDEX(Categories!$B:$B,MATCH(F1687,Categories!$A:$A,0)))</f>
        <v/>
      </c>
      <c r="J1687" s="4"/>
      <c r="K1687" s="4"/>
      <c r="L1687" s="4"/>
      <c r="M1687" s="4"/>
      <c r="N1687" s="4"/>
      <c r="O1687" s="4"/>
      <c r="P1687" s="4"/>
      <c r="Q1687" s="4"/>
    </row>
    <row r="1688">
      <c r="A1688" s="5">
        <v>1687.0</v>
      </c>
      <c r="B1688" s="5" t="s">
        <v>2132</v>
      </c>
      <c r="C1688" s="5" t="s">
        <v>34</v>
      </c>
      <c r="D1688" s="6">
        <f>IFERROR(__xludf.DUMMYFUNCTION("SPLIT(MID(C1688,2,LEN(C1688)-2), "","")"),228.0)</f>
        <v>228</v>
      </c>
      <c r="E1688" s="7"/>
      <c r="F1688" s="7"/>
      <c r="G1688" s="2" t="str">
        <f t="array" ref="G1688">IF(ISBLANK(D1688), "", INDEX(Categories!$B:$B,MATCH(D1688,Categories!$A:$A,0)))</f>
        <v>Restaurants</v>
      </c>
      <c r="H1688" s="7" t="str">
        <f t="array" ref="H1688">IF(ISBLANK(E1688), "", INDEX(Categories!$B:$B,MATCH(E1688,Categories!$A:$A,0)))</f>
        <v/>
      </c>
      <c r="I1688" s="7" t="str">
        <f t="array" ref="I1688">IF(ISBLANK(F1688), "", INDEX(Categories!$B:$B,MATCH(F1688,Categories!$A:$A,0)))</f>
        <v/>
      </c>
      <c r="J1688" s="4"/>
      <c r="K1688" s="4"/>
      <c r="L1688" s="4"/>
      <c r="M1688" s="4"/>
      <c r="N1688" s="4"/>
      <c r="O1688" s="4"/>
      <c r="P1688" s="4"/>
      <c r="Q1688" s="4"/>
    </row>
    <row r="1689">
      <c r="A1689" s="5">
        <v>1688.0</v>
      </c>
      <c r="B1689" s="5" t="s">
        <v>2133</v>
      </c>
      <c r="C1689" s="5" t="s">
        <v>164</v>
      </c>
      <c r="D1689" s="6">
        <f>IFERROR(__xludf.DUMMYFUNCTION("SPLIT(MID(C1689,2,LEN(C1689)-2), "","")"),243.0)</f>
        <v>243</v>
      </c>
      <c r="E1689" s="7"/>
      <c r="F1689" s="7"/>
      <c r="G1689" s="2" t="str">
        <f t="array" ref="G1689">IF(ISBLANK(D1689), "", INDEX(Categories!$B:$B,MATCH(D1689,Categories!$A:$A,0)))</f>
        <v>Restaurants Seafood</v>
      </c>
      <c r="H1689" s="7" t="str">
        <f t="array" ref="H1689">IF(ISBLANK(E1689), "", INDEX(Categories!$B:$B,MATCH(E1689,Categories!$A:$A,0)))</f>
        <v/>
      </c>
      <c r="I1689" s="7" t="str">
        <f t="array" ref="I1689">IF(ISBLANK(F1689), "", INDEX(Categories!$B:$B,MATCH(F1689,Categories!$A:$A,0)))</f>
        <v/>
      </c>
      <c r="J1689" s="4"/>
      <c r="K1689" s="4"/>
      <c r="L1689" s="4"/>
      <c r="M1689" s="4"/>
      <c r="N1689" s="4"/>
      <c r="O1689" s="4"/>
      <c r="P1689" s="4"/>
      <c r="Q1689" s="4"/>
    </row>
    <row r="1690">
      <c r="A1690" s="5">
        <v>1689.0</v>
      </c>
      <c r="B1690" s="5" t="s">
        <v>2134</v>
      </c>
      <c r="C1690" s="5" t="s">
        <v>34</v>
      </c>
      <c r="D1690" s="6">
        <f>IFERROR(__xludf.DUMMYFUNCTION("SPLIT(MID(C1690,2,LEN(C1690)-2), "","")"),228.0)</f>
        <v>228</v>
      </c>
      <c r="E1690" s="7"/>
      <c r="F1690" s="7"/>
      <c r="G1690" s="2" t="str">
        <f t="array" ref="G1690">IF(ISBLANK(D1690), "", INDEX(Categories!$B:$B,MATCH(D1690,Categories!$A:$A,0)))</f>
        <v>Restaurants</v>
      </c>
      <c r="H1690" s="7" t="str">
        <f t="array" ref="H1690">IF(ISBLANK(E1690), "", INDEX(Categories!$B:$B,MATCH(E1690,Categories!$A:$A,0)))</f>
        <v/>
      </c>
      <c r="I1690" s="7" t="str">
        <f t="array" ref="I1690">IF(ISBLANK(F1690), "", INDEX(Categories!$B:$B,MATCH(F1690,Categories!$A:$A,0)))</f>
        <v/>
      </c>
      <c r="J1690" s="4"/>
      <c r="K1690" s="4"/>
      <c r="L1690" s="4"/>
      <c r="M1690" s="4"/>
      <c r="N1690" s="4"/>
      <c r="O1690" s="4"/>
      <c r="P1690" s="4"/>
      <c r="Q1690" s="4"/>
    </row>
    <row r="1691">
      <c r="A1691" s="5">
        <v>1690.0</v>
      </c>
      <c r="B1691" s="5" t="s">
        <v>2135</v>
      </c>
      <c r="C1691" s="5" t="s">
        <v>1286</v>
      </c>
      <c r="D1691" s="6">
        <f>IFERROR(__xludf.DUMMYFUNCTION("SPLIT(MID(C1691,2,LEN(C1691)-2), "","")"),1100.0)</f>
        <v>1100</v>
      </c>
      <c r="E1691" s="7"/>
      <c r="F1691" s="7"/>
      <c r="G1691" s="2" t="str">
        <f t="array" ref="G1691">IF(ISBLANK(D1691), "", INDEX(Categories!$B:$B,MATCH(D1691,Categories!$A:$A,0)))</f>
        <v>Bars Grills &amp; Pubs</v>
      </c>
      <c r="H1691" s="7" t="str">
        <f t="array" ref="H1691">IF(ISBLANK(E1691), "", INDEX(Categories!$B:$B,MATCH(E1691,Categories!$A:$A,0)))</f>
        <v/>
      </c>
      <c r="I1691" s="7" t="str">
        <f t="array" ref="I1691">IF(ISBLANK(F1691), "", INDEX(Categories!$B:$B,MATCH(F1691,Categories!$A:$A,0)))</f>
        <v/>
      </c>
      <c r="J1691" s="4"/>
      <c r="K1691" s="4"/>
      <c r="L1691" s="4"/>
      <c r="M1691" s="4"/>
      <c r="N1691" s="4"/>
      <c r="O1691" s="4"/>
      <c r="P1691" s="4"/>
      <c r="Q1691" s="4"/>
    </row>
    <row r="1692">
      <c r="A1692" s="5">
        <v>1691.0</v>
      </c>
      <c r="B1692" s="5" t="s">
        <v>2136</v>
      </c>
      <c r="C1692" s="5" t="s">
        <v>307</v>
      </c>
      <c r="D1692" s="6">
        <f>IFERROR(__xludf.DUMMYFUNCTION("SPLIT(MID(C1692,2,LEN(C1692)-2), "","")"),241.0)</f>
        <v>241</v>
      </c>
      <c r="E1692" s="7"/>
      <c r="F1692" s="7"/>
      <c r="G1692" s="2" t="str">
        <f t="array" ref="G1692">IF(ISBLANK(D1692), "", INDEX(Categories!$B:$B,MATCH(D1692,Categories!$A:$A,0)))</f>
        <v>Restaurants Mexican</v>
      </c>
      <c r="H1692" s="7" t="str">
        <f t="array" ref="H1692">IF(ISBLANK(E1692), "", INDEX(Categories!$B:$B,MATCH(E1692,Categories!$A:$A,0)))</f>
        <v/>
      </c>
      <c r="I1692" s="7" t="str">
        <f t="array" ref="I1692">IF(ISBLANK(F1692), "", INDEX(Categories!$B:$B,MATCH(F1692,Categories!$A:$A,0)))</f>
        <v/>
      </c>
      <c r="J1692" s="4"/>
      <c r="K1692" s="4"/>
      <c r="L1692" s="4"/>
      <c r="M1692" s="4"/>
      <c r="N1692" s="4"/>
      <c r="O1692" s="4"/>
      <c r="P1692" s="4"/>
      <c r="Q1692" s="4"/>
    </row>
    <row r="1693">
      <c r="A1693" s="5">
        <v>1692.0</v>
      </c>
      <c r="B1693" s="5" t="s">
        <v>2137</v>
      </c>
      <c r="C1693" s="5" t="s">
        <v>307</v>
      </c>
      <c r="D1693" s="6">
        <f>IFERROR(__xludf.DUMMYFUNCTION("SPLIT(MID(C1693,2,LEN(C1693)-2), "","")"),241.0)</f>
        <v>241</v>
      </c>
      <c r="E1693" s="7"/>
      <c r="F1693" s="7"/>
      <c r="G1693" s="2" t="str">
        <f t="array" ref="G1693">IF(ISBLANK(D1693), "", INDEX(Categories!$B:$B,MATCH(D1693,Categories!$A:$A,0)))</f>
        <v>Restaurants Mexican</v>
      </c>
      <c r="H1693" s="7" t="str">
        <f t="array" ref="H1693">IF(ISBLANK(E1693), "", INDEX(Categories!$B:$B,MATCH(E1693,Categories!$A:$A,0)))</f>
        <v/>
      </c>
      <c r="I1693" s="7" t="str">
        <f t="array" ref="I1693">IF(ISBLANK(F1693), "", INDEX(Categories!$B:$B,MATCH(F1693,Categories!$A:$A,0)))</f>
        <v/>
      </c>
      <c r="J1693" s="4"/>
      <c r="K1693" s="4"/>
      <c r="L1693" s="4"/>
      <c r="M1693" s="4"/>
      <c r="N1693" s="4"/>
      <c r="O1693" s="4"/>
      <c r="P1693" s="4"/>
      <c r="Q1693" s="4"/>
    </row>
    <row r="1694">
      <c r="A1694" s="5">
        <v>1693.0</v>
      </c>
      <c r="B1694" s="5" t="s">
        <v>2138</v>
      </c>
      <c r="C1694" s="5" t="s">
        <v>34</v>
      </c>
      <c r="D1694" s="6">
        <f>IFERROR(__xludf.DUMMYFUNCTION("SPLIT(MID(C1694,2,LEN(C1694)-2), "","")"),228.0)</f>
        <v>228</v>
      </c>
      <c r="E1694" s="7"/>
      <c r="F1694" s="7"/>
      <c r="G1694" s="2" t="str">
        <f t="array" ref="G1694">IF(ISBLANK(D1694), "", INDEX(Categories!$B:$B,MATCH(D1694,Categories!$A:$A,0)))</f>
        <v>Restaurants</v>
      </c>
      <c r="H1694" s="7" t="str">
        <f t="array" ref="H1694">IF(ISBLANK(E1694), "", INDEX(Categories!$B:$B,MATCH(E1694,Categories!$A:$A,0)))</f>
        <v/>
      </c>
      <c r="I1694" s="7" t="str">
        <f t="array" ref="I1694">IF(ISBLANK(F1694), "", INDEX(Categories!$B:$B,MATCH(F1694,Categories!$A:$A,0)))</f>
        <v/>
      </c>
      <c r="J1694" s="4"/>
      <c r="K1694" s="4"/>
      <c r="L1694" s="4"/>
      <c r="M1694" s="4"/>
      <c r="N1694" s="4"/>
      <c r="O1694" s="4"/>
      <c r="P1694" s="4"/>
      <c r="Q1694" s="4"/>
    </row>
    <row r="1695">
      <c r="A1695" s="5">
        <v>1694.0</v>
      </c>
      <c r="B1695" s="5" t="s">
        <v>2139</v>
      </c>
      <c r="C1695" s="5" t="s">
        <v>34</v>
      </c>
      <c r="D1695" s="6">
        <f>IFERROR(__xludf.DUMMYFUNCTION("SPLIT(MID(C1695,2,LEN(C1695)-2), "","")"),228.0)</f>
        <v>228</v>
      </c>
      <c r="E1695" s="7"/>
      <c r="F1695" s="7"/>
      <c r="G1695" s="2" t="str">
        <f t="array" ref="G1695">IF(ISBLANK(D1695), "", INDEX(Categories!$B:$B,MATCH(D1695,Categories!$A:$A,0)))</f>
        <v>Restaurants</v>
      </c>
      <c r="H1695" s="7" t="str">
        <f t="array" ref="H1695">IF(ISBLANK(E1695), "", INDEX(Categories!$B:$B,MATCH(E1695,Categories!$A:$A,0)))</f>
        <v/>
      </c>
      <c r="I1695" s="7" t="str">
        <f t="array" ref="I1695">IF(ISBLANK(F1695), "", INDEX(Categories!$B:$B,MATCH(F1695,Categories!$A:$A,0)))</f>
        <v/>
      </c>
      <c r="J1695" s="4"/>
      <c r="K1695" s="4"/>
      <c r="L1695" s="4"/>
      <c r="M1695" s="4"/>
      <c r="N1695" s="4"/>
      <c r="O1695" s="4"/>
      <c r="P1695" s="4"/>
      <c r="Q1695" s="4"/>
    </row>
    <row r="1696">
      <c r="A1696" s="5">
        <v>1695.0</v>
      </c>
      <c r="B1696" s="5" t="s">
        <v>2140</v>
      </c>
      <c r="C1696" s="5" t="s">
        <v>34</v>
      </c>
      <c r="D1696" s="6">
        <f>IFERROR(__xludf.DUMMYFUNCTION("SPLIT(MID(C1696,2,LEN(C1696)-2), "","")"),228.0)</f>
        <v>228</v>
      </c>
      <c r="E1696" s="7"/>
      <c r="F1696" s="7"/>
      <c r="G1696" s="2" t="str">
        <f t="array" ref="G1696">IF(ISBLANK(D1696), "", INDEX(Categories!$B:$B,MATCH(D1696,Categories!$A:$A,0)))</f>
        <v>Restaurants</v>
      </c>
      <c r="H1696" s="7" t="str">
        <f t="array" ref="H1696">IF(ISBLANK(E1696), "", INDEX(Categories!$B:$B,MATCH(E1696,Categories!$A:$A,0)))</f>
        <v/>
      </c>
      <c r="I1696" s="7" t="str">
        <f t="array" ref="I1696">IF(ISBLANK(F1696), "", INDEX(Categories!$B:$B,MATCH(F1696,Categories!$A:$A,0)))</f>
        <v/>
      </c>
      <c r="J1696" s="4"/>
      <c r="K1696" s="4"/>
      <c r="L1696" s="4"/>
      <c r="M1696" s="4"/>
      <c r="N1696" s="4"/>
      <c r="O1696" s="4"/>
      <c r="P1696" s="4"/>
      <c r="Q1696" s="4"/>
    </row>
    <row r="1697">
      <c r="A1697" s="5">
        <v>1696.0</v>
      </c>
      <c r="B1697" s="5" t="s">
        <v>2141</v>
      </c>
      <c r="C1697" s="5" t="s">
        <v>34</v>
      </c>
      <c r="D1697" s="6">
        <f>IFERROR(__xludf.DUMMYFUNCTION("SPLIT(MID(C1697,2,LEN(C1697)-2), "","")"),228.0)</f>
        <v>228</v>
      </c>
      <c r="E1697" s="7"/>
      <c r="F1697" s="7"/>
      <c r="G1697" s="2" t="str">
        <f t="array" ref="G1697">IF(ISBLANK(D1697), "", INDEX(Categories!$B:$B,MATCH(D1697,Categories!$A:$A,0)))</f>
        <v>Restaurants</v>
      </c>
      <c r="H1697" s="7" t="str">
        <f t="array" ref="H1697">IF(ISBLANK(E1697), "", INDEX(Categories!$B:$B,MATCH(E1697,Categories!$A:$A,0)))</f>
        <v/>
      </c>
      <c r="I1697" s="7" t="str">
        <f t="array" ref="I1697">IF(ISBLANK(F1697), "", INDEX(Categories!$B:$B,MATCH(F1697,Categories!$A:$A,0)))</f>
        <v/>
      </c>
      <c r="J1697" s="4"/>
      <c r="K1697" s="4"/>
      <c r="L1697" s="4"/>
      <c r="M1697" s="4"/>
      <c r="N1697" s="4"/>
      <c r="O1697" s="4"/>
      <c r="P1697" s="4"/>
      <c r="Q1697" s="4"/>
    </row>
    <row r="1698">
      <c r="A1698" s="5">
        <v>1697.0</v>
      </c>
      <c r="B1698" s="5" t="s">
        <v>2142</v>
      </c>
      <c r="C1698" s="5" t="s">
        <v>34</v>
      </c>
      <c r="D1698" s="6">
        <f>IFERROR(__xludf.DUMMYFUNCTION("SPLIT(MID(C1698,2,LEN(C1698)-2), "","")"),228.0)</f>
        <v>228</v>
      </c>
      <c r="E1698" s="7"/>
      <c r="F1698" s="7"/>
      <c r="G1698" s="2" t="str">
        <f t="array" ref="G1698">IF(ISBLANK(D1698), "", INDEX(Categories!$B:$B,MATCH(D1698,Categories!$A:$A,0)))</f>
        <v>Restaurants</v>
      </c>
      <c r="H1698" s="7" t="str">
        <f t="array" ref="H1698">IF(ISBLANK(E1698), "", INDEX(Categories!$B:$B,MATCH(E1698,Categories!$A:$A,0)))</f>
        <v/>
      </c>
      <c r="I1698" s="7" t="str">
        <f t="array" ref="I1698">IF(ISBLANK(F1698), "", INDEX(Categories!$B:$B,MATCH(F1698,Categories!$A:$A,0)))</f>
        <v/>
      </c>
      <c r="J1698" s="4"/>
      <c r="K1698" s="4"/>
      <c r="L1698" s="4"/>
      <c r="M1698" s="4"/>
      <c r="N1698" s="4"/>
      <c r="O1698" s="4"/>
      <c r="P1698" s="4"/>
      <c r="Q1698" s="4"/>
    </row>
    <row r="1699">
      <c r="A1699" s="5">
        <v>1698.0</v>
      </c>
      <c r="B1699" s="5" t="s">
        <v>2143</v>
      </c>
      <c r="C1699" s="5" t="s">
        <v>34</v>
      </c>
      <c r="D1699" s="6">
        <f>IFERROR(__xludf.DUMMYFUNCTION("SPLIT(MID(C1699,2,LEN(C1699)-2), "","")"),228.0)</f>
        <v>228</v>
      </c>
      <c r="E1699" s="7"/>
      <c r="F1699" s="7"/>
      <c r="G1699" s="2" t="str">
        <f t="array" ref="G1699">IF(ISBLANK(D1699), "", INDEX(Categories!$B:$B,MATCH(D1699,Categories!$A:$A,0)))</f>
        <v>Restaurants</v>
      </c>
      <c r="H1699" s="7" t="str">
        <f t="array" ref="H1699">IF(ISBLANK(E1699), "", INDEX(Categories!$B:$B,MATCH(E1699,Categories!$A:$A,0)))</f>
        <v/>
      </c>
      <c r="I1699" s="7" t="str">
        <f t="array" ref="I1699">IF(ISBLANK(F1699), "", INDEX(Categories!$B:$B,MATCH(F1699,Categories!$A:$A,0)))</f>
        <v/>
      </c>
      <c r="J1699" s="4"/>
      <c r="K1699" s="4"/>
      <c r="L1699" s="4"/>
      <c r="M1699" s="4"/>
      <c r="N1699" s="4"/>
      <c r="O1699" s="4"/>
      <c r="P1699" s="4"/>
      <c r="Q1699" s="4"/>
    </row>
    <row r="1700">
      <c r="A1700" s="5">
        <v>1699.0</v>
      </c>
      <c r="B1700" s="5" t="s">
        <v>2144</v>
      </c>
      <c r="C1700" s="5" t="s">
        <v>34</v>
      </c>
      <c r="D1700" s="6">
        <f>IFERROR(__xludf.DUMMYFUNCTION("SPLIT(MID(C1700,2,LEN(C1700)-2), "","")"),228.0)</f>
        <v>228</v>
      </c>
      <c r="E1700" s="7"/>
      <c r="F1700" s="7"/>
      <c r="G1700" s="2" t="str">
        <f t="array" ref="G1700">IF(ISBLANK(D1700), "", INDEX(Categories!$B:$B,MATCH(D1700,Categories!$A:$A,0)))</f>
        <v>Restaurants</v>
      </c>
      <c r="H1700" s="7" t="str">
        <f t="array" ref="H1700">IF(ISBLANK(E1700), "", INDEX(Categories!$B:$B,MATCH(E1700,Categories!$A:$A,0)))</f>
        <v/>
      </c>
      <c r="I1700" s="7" t="str">
        <f t="array" ref="I1700">IF(ISBLANK(F1700), "", INDEX(Categories!$B:$B,MATCH(F1700,Categories!$A:$A,0)))</f>
        <v/>
      </c>
      <c r="J1700" s="4"/>
      <c r="K1700" s="4"/>
      <c r="L1700" s="4"/>
      <c r="M1700" s="4"/>
      <c r="N1700" s="4"/>
      <c r="O1700" s="4"/>
      <c r="P1700" s="4"/>
      <c r="Q1700" s="4"/>
    </row>
    <row r="1701">
      <c r="A1701" s="5">
        <v>1700.0</v>
      </c>
      <c r="B1701" s="5" t="s">
        <v>2145</v>
      </c>
      <c r="C1701" s="5" t="s">
        <v>307</v>
      </c>
      <c r="D1701" s="6">
        <f>IFERROR(__xludf.DUMMYFUNCTION("SPLIT(MID(C1701,2,LEN(C1701)-2), "","")"),241.0)</f>
        <v>241</v>
      </c>
      <c r="E1701" s="7"/>
      <c r="F1701" s="7"/>
      <c r="G1701" s="2" t="str">
        <f t="array" ref="G1701">IF(ISBLANK(D1701), "", INDEX(Categories!$B:$B,MATCH(D1701,Categories!$A:$A,0)))</f>
        <v>Restaurants Mexican</v>
      </c>
      <c r="H1701" s="7" t="str">
        <f t="array" ref="H1701">IF(ISBLANK(E1701), "", INDEX(Categories!$B:$B,MATCH(E1701,Categories!$A:$A,0)))</f>
        <v/>
      </c>
      <c r="I1701" s="7" t="str">
        <f t="array" ref="I1701">IF(ISBLANK(F1701), "", INDEX(Categories!$B:$B,MATCH(F1701,Categories!$A:$A,0)))</f>
        <v/>
      </c>
      <c r="J1701" s="4"/>
      <c r="K1701" s="4"/>
      <c r="L1701" s="4"/>
      <c r="M1701" s="4"/>
      <c r="N1701" s="4"/>
      <c r="O1701" s="4"/>
      <c r="P1701" s="4"/>
      <c r="Q1701" s="4"/>
    </row>
    <row r="1702">
      <c r="A1702" s="5">
        <v>1701.0</v>
      </c>
      <c r="B1702" s="5" t="s">
        <v>2146</v>
      </c>
      <c r="C1702" s="5" t="s">
        <v>34</v>
      </c>
      <c r="D1702" s="6">
        <f>IFERROR(__xludf.DUMMYFUNCTION("SPLIT(MID(C1702,2,LEN(C1702)-2), "","")"),228.0)</f>
        <v>228</v>
      </c>
      <c r="E1702" s="7"/>
      <c r="F1702" s="7"/>
      <c r="G1702" s="2" t="str">
        <f t="array" ref="G1702">IF(ISBLANK(D1702), "", INDEX(Categories!$B:$B,MATCH(D1702,Categories!$A:$A,0)))</f>
        <v>Restaurants</v>
      </c>
      <c r="H1702" s="7" t="str">
        <f t="array" ref="H1702">IF(ISBLANK(E1702), "", INDEX(Categories!$B:$B,MATCH(E1702,Categories!$A:$A,0)))</f>
        <v/>
      </c>
      <c r="I1702" s="7" t="str">
        <f t="array" ref="I1702">IF(ISBLANK(F1702), "", INDEX(Categories!$B:$B,MATCH(F1702,Categories!$A:$A,0)))</f>
        <v/>
      </c>
      <c r="J1702" s="4"/>
      <c r="K1702" s="4"/>
      <c r="L1702" s="4"/>
      <c r="M1702" s="4"/>
      <c r="N1702" s="4"/>
      <c r="O1702" s="4"/>
      <c r="P1702" s="4"/>
      <c r="Q1702" s="4"/>
    </row>
    <row r="1703">
      <c r="A1703" s="5">
        <v>1702.0</v>
      </c>
      <c r="B1703" s="5" t="s">
        <v>2147</v>
      </c>
      <c r="C1703" s="5" t="s">
        <v>34</v>
      </c>
      <c r="D1703" s="6">
        <f>IFERROR(__xludf.DUMMYFUNCTION("SPLIT(MID(C1703,2,LEN(C1703)-2), "","")"),228.0)</f>
        <v>228</v>
      </c>
      <c r="E1703" s="7"/>
      <c r="F1703" s="7"/>
      <c r="G1703" s="2" t="str">
        <f t="array" ref="G1703">IF(ISBLANK(D1703), "", INDEX(Categories!$B:$B,MATCH(D1703,Categories!$A:$A,0)))</f>
        <v>Restaurants</v>
      </c>
      <c r="H1703" s="7" t="str">
        <f t="array" ref="H1703">IF(ISBLANK(E1703), "", INDEX(Categories!$B:$B,MATCH(E1703,Categories!$A:$A,0)))</f>
        <v/>
      </c>
      <c r="I1703" s="7" t="str">
        <f t="array" ref="I1703">IF(ISBLANK(F1703), "", INDEX(Categories!$B:$B,MATCH(F1703,Categories!$A:$A,0)))</f>
        <v/>
      </c>
      <c r="J1703" s="4"/>
      <c r="K1703" s="4"/>
      <c r="L1703" s="4"/>
      <c r="M1703" s="4"/>
      <c r="N1703" s="4"/>
      <c r="O1703" s="4"/>
      <c r="P1703" s="4"/>
      <c r="Q1703" s="4"/>
    </row>
    <row r="1704">
      <c r="A1704" s="5">
        <v>1703.0</v>
      </c>
      <c r="B1704" s="5" t="s">
        <v>2148</v>
      </c>
      <c r="C1704" s="5" t="s">
        <v>307</v>
      </c>
      <c r="D1704" s="6">
        <f>IFERROR(__xludf.DUMMYFUNCTION("SPLIT(MID(C1704,2,LEN(C1704)-2), "","")"),241.0)</f>
        <v>241</v>
      </c>
      <c r="E1704" s="7"/>
      <c r="F1704" s="7"/>
      <c r="G1704" s="2" t="str">
        <f t="array" ref="G1704">IF(ISBLANK(D1704), "", INDEX(Categories!$B:$B,MATCH(D1704,Categories!$A:$A,0)))</f>
        <v>Restaurants Mexican</v>
      </c>
      <c r="H1704" s="7" t="str">
        <f t="array" ref="H1704">IF(ISBLANK(E1704), "", INDEX(Categories!$B:$B,MATCH(E1704,Categories!$A:$A,0)))</f>
        <v/>
      </c>
      <c r="I1704" s="7" t="str">
        <f t="array" ref="I1704">IF(ISBLANK(F1704), "", INDEX(Categories!$B:$B,MATCH(F1704,Categories!$A:$A,0)))</f>
        <v/>
      </c>
      <c r="J1704" s="4"/>
      <c r="K1704" s="4"/>
      <c r="L1704" s="4"/>
      <c r="M1704" s="4"/>
      <c r="N1704" s="4"/>
      <c r="O1704" s="4"/>
      <c r="P1704" s="4"/>
      <c r="Q1704" s="4"/>
    </row>
    <row r="1705">
      <c r="A1705" s="5">
        <v>1704.0</v>
      </c>
      <c r="B1705" s="5" t="s">
        <v>2149</v>
      </c>
      <c r="C1705" s="5" t="s">
        <v>1530</v>
      </c>
      <c r="D1705" s="6">
        <f>IFERROR(__xludf.DUMMYFUNCTION("SPLIT(MID(C1705,2,LEN(C1705)-2), "","")"),239.0)</f>
        <v>239</v>
      </c>
      <c r="E1705" s="7"/>
      <c r="F1705" s="7"/>
      <c r="G1705" s="2" t="str">
        <f t="array" ref="G1705">IF(ISBLANK(D1705), "", INDEX(Categories!$B:$B,MATCH(D1705,Categories!$A:$A,0)))</f>
        <v>Restaurants Dining</v>
      </c>
      <c r="H1705" s="7" t="str">
        <f t="array" ref="H1705">IF(ISBLANK(E1705), "", INDEX(Categories!$B:$B,MATCH(E1705,Categories!$A:$A,0)))</f>
        <v/>
      </c>
      <c r="I1705" s="7" t="str">
        <f t="array" ref="I1705">IF(ISBLANK(F1705), "", INDEX(Categories!$B:$B,MATCH(F1705,Categories!$A:$A,0)))</f>
        <v/>
      </c>
      <c r="J1705" s="4"/>
      <c r="K1705" s="4"/>
      <c r="L1705" s="4"/>
      <c r="M1705" s="4"/>
      <c r="N1705" s="4"/>
      <c r="O1705" s="4"/>
      <c r="P1705" s="4"/>
      <c r="Q1705" s="4"/>
    </row>
    <row r="1706">
      <c r="A1706" s="5">
        <v>1705.0</v>
      </c>
      <c r="B1706" s="5" t="s">
        <v>2150</v>
      </c>
      <c r="C1706" s="5" t="s">
        <v>60</v>
      </c>
      <c r="D1706" s="6">
        <f>IFERROR(__xludf.DUMMYFUNCTION("SPLIT(MID(C1706,2,LEN(C1706)-2), "","")"),240.0)</f>
        <v>240</v>
      </c>
      <c r="E1706" s="7"/>
      <c r="F1706" s="7"/>
      <c r="G1706" s="2" t="str">
        <f t="array" ref="G1706">IF(ISBLANK(D1706), "", INDEX(Categories!$B:$B,MATCH(D1706,Categories!$A:$A,0)))</f>
        <v>Restaurants Fast Food</v>
      </c>
      <c r="H1706" s="7" t="str">
        <f t="array" ref="H1706">IF(ISBLANK(E1706), "", INDEX(Categories!$B:$B,MATCH(E1706,Categories!$A:$A,0)))</f>
        <v/>
      </c>
      <c r="I1706" s="7" t="str">
        <f t="array" ref="I1706">IF(ISBLANK(F1706), "", INDEX(Categories!$B:$B,MATCH(F1706,Categories!$A:$A,0)))</f>
        <v/>
      </c>
      <c r="J1706" s="4"/>
      <c r="K1706" s="4"/>
      <c r="L1706" s="4"/>
      <c r="M1706" s="4"/>
      <c r="N1706" s="4"/>
      <c r="O1706" s="4"/>
      <c r="P1706" s="4"/>
      <c r="Q1706" s="4"/>
    </row>
    <row r="1707">
      <c r="A1707" s="5">
        <v>1706.0</v>
      </c>
      <c r="B1707" s="5" t="s">
        <v>2151</v>
      </c>
      <c r="C1707" s="5" t="s">
        <v>34</v>
      </c>
      <c r="D1707" s="6">
        <f>IFERROR(__xludf.DUMMYFUNCTION("SPLIT(MID(C1707,2,LEN(C1707)-2), "","")"),228.0)</f>
        <v>228</v>
      </c>
      <c r="E1707" s="7"/>
      <c r="F1707" s="7"/>
      <c r="G1707" s="2" t="str">
        <f t="array" ref="G1707">IF(ISBLANK(D1707), "", INDEX(Categories!$B:$B,MATCH(D1707,Categories!$A:$A,0)))</f>
        <v>Restaurants</v>
      </c>
      <c r="H1707" s="7" t="str">
        <f t="array" ref="H1707">IF(ISBLANK(E1707), "", INDEX(Categories!$B:$B,MATCH(E1707,Categories!$A:$A,0)))</f>
        <v/>
      </c>
      <c r="I1707" s="7" t="str">
        <f t="array" ref="I1707">IF(ISBLANK(F1707), "", INDEX(Categories!$B:$B,MATCH(F1707,Categories!$A:$A,0)))</f>
        <v/>
      </c>
      <c r="J1707" s="4"/>
      <c r="K1707" s="4"/>
      <c r="L1707" s="4"/>
      <c r="M1707" s="4"/>
      <c r="N1707" s="4"/>
      <c r="O1707" s="4"/>
      <c r="P1707" s="4"/>
      <c r="Q1707" s="4"/>
    </row>
    <row r="1708">
      <c r="A1708" s="5">
        <v>1707.0</v>
      </c>
      <c r="B1708" s="5" t="s">
        <v>2152</v>
      </c>
      <c r="C1708" s="5" t="s">
        <v>60</v>
      </c>
      <c r="D1708" s="6">
        <f>IFERROR(__xludf.DUMMYFUNCTION("SPLIT(MID(C1708,2,LEN(C1708)-2), "","")"),240.0)</f>
        <v>240</v>
      </c>
      <c r="E1708" s="7"/>
      <c r="F1708" s="7"/>
      <c r="G1708" s="2" t="str">
        <f t="array" ref="G1708">IF(ISBLANK(D1708), "", INDEX(Categories!$B:$B,MATCH(D1708,Categories!$A:$A,0)))</f>
        <v>Restaurants Fast Food</v>
      </c>
      <c r="H1708" s="7" t="str">
        <f t="array" ref="H1708">IF(ISBLANK(E1708), "", INDEX(Categories!$B:$B,MATCH(E1708,Categories!$A:$A,0)))</f>
        <v/>
      </c>
      <c r="I1708" s="7" t="str">
        <f t="array" ref="I1708">IF(ISBLANK(F1708), "", INDEX(Categories!$B:$B,MATCH(F1708,Categories!$A:$A,0)))</f>
        <v/>
      </c>
      <c r="J1708" s="4"/>
      <c r="K1708" s="4"/>
      <c r="L1708" s="4"/>
      <c r="M1708" s="4"/>
      <c r="N1708" s="4"/>
      <c r="O1708" s="4"/>
      <c r="P1708" s="4"/>
      <c r="Q1708" s="4"/>
    </row>
    <row r="1709">
      <c r="A1709" s="5">
        <v>1708.0</v>
      </c>
      <c r="B1709" s="5" t="s">
        <v>2153</v>
      </c>
      <c r="C1709" s="5" t="s">
        <v>307</v>
      </c>
      <c r="D1709" s="6">
        <f>IFERROR(__xludf.DUMMYFUNCTION("SPLIT(MID(C1709,2,LEN(C1709)-2), "","")"),241.0)</f>
        <v>241</v>
      </c>
      <c r="E1709" s="7"/>
      <c r="F1709" s="7"/>
      <c r="G1709" s="2" t="str">
        <f t="array" ref="G1709">IF(ISBLANK(D1709), "", INDEX(Categories!$B:$B,MATCH(D1709,Categories!$A:$A,0)))</f>
        <v>Restaurants Mexican</v>
      </c>
      <c r="H1709" s="7" t="str">
        <f t="array" ref="H1709">IF(ISBLANK(E1709), "", INDEX(Categories!$B:$B,MATCH(E1709,Categories!$A:$A,0)))</f>
        <v/>
      </c>
      <c r="I1709" s="7" t="str">
        <f t="array" ref="I1709">IF(ISBLANK(F1709), "", INDEX(Categories!$B:$B,MATCH(F1709,Categories!$A:$A,0)))</f>
        <v/>
      </c>
      <c r="J1709" s="4"/>
      <c r="K1709" s="4"/>
      <c r="L1709" s="4"/>
      <c r="M1709" s="4"/>
      <c r="N1709" s="4"/>
      <c r="O1709" s="4"/>
      <c r="P1709" s="4"/>
      <c r="Q1709" s="4"/>
    </row>
    <row r="1710">
      <c r="A1710" s="5">
        <v>1709.0</v>
      </c>
      <c r="B1710" s="5" t="s">
        <v>2154</v>
      </c>
      <c r="C1710" s="5" t="s">
        <v>307</v>
      </c>
      <c r="D1710" s="6">
        <f>IFERROR(__xludf.DUMMYFUNCTION("SPLIT(MID(C1710,2,LEN(C1710)-2), "","")"),241.0)</f>
        <v>241</v>
      </c>
      <c r="E1710" s="7"/>
      <c r="F1710" s="7"/>
      <c r="G1710" s="2" t="str">
        <f t="array" ref="G1710">IF(ISBLANK(D1710), "", INDEX(Categories!$B:$B,MATCH(D1710,Categories!$A:$A,0)))</f>
        <v>Restaurants Mexican</v>
      </c>
      <c r="H1710" s="7" t="str">
        <f t="array" ref="H1710">IF(ISBLANK(E1710), "", INDEX(Categories!$B:$B,MATCH(E1710,Categories!$A:$A,0)))</f>
        <v/>
      </c>
      <c r="I1710" s="7" t="str">
        <f t="array" ref="I1710">IF(ISBLANK(F1710), "", INDEX(Categories!$B:$B,MATCH(F1710,Categories!$A:$A,0)))</f>
        <v/>
      </c>
      <c r="J1710" s="4"/>
      <c r="K1710" s="4"/>
      <c r="L1710" s="4"/>
      <c r="M1710" s="4"/>
      <c r="N1710" s="4"/>
      <c r="O1710" s="4"/>
      <c r="P1710" s="4"/>
      <c r="Q1710" s="4"/>
    </row>
    <row r="1711">
      <c r="A1711" s="5">
        <v>1710.0</v>
      </c>
      <c r="B1711" s="5" t="s">
        <v>2155</v>
      </c>
      <c r="C1711" s="5" t="s">
        <v>34</v>
      </c>
      <c r="D1711" s="6">
        <f>IFERROR(__xludf.DUMMYFUNCTION("SPLIT(MID(C1711,2,LEN(C1711)-2), "","")"),228.0)</f>
        <v>228</v>
      </c>
      <c r="E1711" s="7"/>
      <c r="F1711" s="7"/>
      <c r="G1711" s="2" t="str">
        <f t="array" ref="G1711">IF(ISBLANK(D1711), "", INDEX(Categories!$B:$B,MATCH(D1711,Categories!$A:$A,0)))</f>
        <v>Restaurants</v>
      </c>
      <c r="H1711" s="7" t="str">
        <f t="array" ref="H1711">IF(ISBLANK(E1711), "", INDEX(Categories!$B:$B,MATCH(E1711,Categories!$A:$A,0)))</f>
        <v/>
      </c>
      <c r="I1711" s="7" t="str">
        <f t="array" ref="I1711">IF(ISBLANK(F1711), "", INDEX(Categories!$B:$B,MATCH(F1711,Categories!$A:$A,0)))</f>
        <v/>
      </c>
      <c r="J1711" s="4"/>
      <c r="K1711" s="4"/>
      <c r="L1711" s="4"/>
      <c r="M1711" s="4"/>
      <c r="N1711" s="4"/>
      <c r="O1711" s="4"/>
      <c r="P1711" s="4"/>
      <c r="Q1711" s="4"/>
    </row>
    <row r="1712">
      <c r="A1712" s="5">
        <v>1711.0</v>
      </c>
      <c r="B1712" s="5" t="s">
        <v>2156</v>
      </c>
      <c r="C1712" s="5" t="s">
        <v>307</v>
      </c>
      <c r="D1712" s="6">
        <f>IFERROR(__xludf.DUMMYFUNCTION("SPLIT(MID(C1712,2,LEN(C1712)-2), "","")"),241.0)</f>
        <v>241</v>
      </c>
      <c r="E1712" s="7"/>
      <c r="F1712" s="7"/>
      <c r="G1712" s="2" t="str">
        <f t="array" ref="G1712">IF(ISBLANK(D1712), "", INDEX(Categories!$B:$B,MATCH(D1712,Categories!$A:$A,0)))</f>
        <v>Restaurants Mexican</v>
      </c>
      <c r="H1712" s="7" t="str">
        <f t="array" ref="H1712">IF(ISBLANK(E1712), "", INDEX(Categories!$B:$B,MATCH(E1712,Categories!$A:$A,0)))</f>
        <v/>
      </c>
      <c r="I1712" s="7" t="str">
        <f t="array" ref="I1712">IF(ISBLANK(F1712), "", INDEX(Categories!$B:$B,MATCH(F1712,Categories!$A:$A,0)))</f>
        <v/>
      </c>
      <c r="J1712" s="4"/>
      <c r="K1712" s="4"/>
      <c r="L1712" s="4"/>
      <c r="M1712" s="4"/>
      <c r="N1712" s="4"/>
      <c r="O1712" s="4"/>
      <c r="P1712" s="4"/>
      <c r="Q1712" s="4"/>
    </row>
    <row r="1713">
      <c r="A1713" s="5">
        <v>1712.0</v>
      </c>
      <c r="B1713" s="5" t="s">
        <v>2157</v>
      </c>
      <c r="C1713" s="5" t="s">
        <v>34</v>
      </c>
      <c r="D1713" s="6">
        <f>IFERROR(__xludf.DUMMYFUNCTION("SPLIT(MID(C1713,2,LEN(C1713)-2), "","")"),228.0)</f>
        <v>228</v>
      </c>
      <c r="E1713" s="7"/>
      <c r="F1713" s="7"/>
      <c r="G1713" s="2" t="str">
        <f t="array" ref="G1713">IF(ISBLANK(D1713), "", INDEX(Categories!$B:$B,MATCH(D1713,Categories!$A:$A,0)))</f>
        <v>Restaurants</v>
      </c>
      <c r="H1713" s="7" t="str">
        <f t="array" ref="H1713">IF(ISBLANK(E1713), "", INDEX(Categories!$B:$B,MATCH(E1713,Categories!$A:$A,0)))</f>
        <v/>
      </c>
      <c r="I1713" s="7" t="str">
        <f t="array" ref="I1713">IF(ISBLANK(F1713), "", INDEX(Categories!$B:$B,MATCH(F1713,Categories!$A:$A,0)))</f>
        <v/>
      </c>
      <c r="J1713" s="4"/>
      <c r="K1713" s="4"/>
      <c r="L1713" s="4"/>
      <c r="M1713" s="4"/>
      <c r="N1713" s="4"/>
      <c r="O1713" s="4"/>
      <c r="P1713" s="4"/>
      <c r="Q1713" s="4"/>
    </row>
    <row r="1714">
      <c r="A1714" s="5">
        <v>1713.0</v>
      </c>
      <c r="B1714" s="5" t="s">
        <v>2158</v>
      </c>
      <c r="C1714" s="5" t="s">
        <v>62</v>
      </c>
      <c r="D1714" s="6">
        <f>IFERROR(__xludf.DUMMYFUNCTION("SPLIT(MID(C1714,2,LEN(C1714)-2), "","")"),242.0)</f>
        <v>242</v>
      </c>
      <c r="E1714" s="7"/>
      <c r="F1714" s="7"/>
      <c r="G1714" s="2" t="str">
        <f t="array" ref="G1714">IF(ISBLANK(D1714), "", INDEX(Categories!$B:$B,MATCH(D1714,Categories!$A:$A,0)))</f>
        <v>Restaurants Pizza</v>
      </c>
      <c r="H1714" s="7" t="str">
        <f t="array" ref="H1714">IF(ISBLANK(E1714), "", INDEX(Categories!$B:$B,MATCH(E1714,Categories!$A:$A,0)))</f>
        <v/>
      </c>
      <c r="I1714" s="7" t="str">
        <f t="array" ref="I1714">IF(ISBLANK(F1714), "", INDEX(Categories!$B:$B,MATCH(F1714,Categories!$A:$A,0)))</f>
        <v/>
      </c>
      <c r="J1714" s="4"/>
      <c r="K1714" s="4"/>
      <c r="L1714" s="4"/>
      <c r="M1714" s="4"/>
      <c r="N1714" s="4"/>
      <c r="O1714" s="4"/>
      <c r="P1714" s="4"/>
      <c r="Q1714" s="4"/>
    </row>
    <row r="1715">
      <c r="A1715" s="5">
        <v>1714.0</v>
      </c>
      <c r="B1715" s="5" t="s">
        <v>2159</v>
      </c>
      <c r="C1715" s="5" t="s">
        <v>2160</v>
      </c>
      <c r="D1715" s="6">
        <f>IFERROR(__xludf.DUMMYFUNCTION("SPLIT(MID(C1715,2,LEN(C1715)-2), "","")"),508.0)</f>
        <v>508</v>
      </c>
      <c r="E1715" s="7"/>
      <c r="F1715" s="7"/>
      <c r="G1715" s="2" t="str">
        <f t="array" ref="G1715">IF(ISBLANK(D1715), "", INDEX(Categories!$B:$B,MATCH(D1715,Categories!$A:$A,0)))</f>
        <v>Catering &amp; Bartending Services</v>
      </c>
      <c r="H1715" s="7" t="str">
        <f t="array" ref="H1715">IF(ISBLANK(E1715), "", INDEX(Categories!$B:$B,MATCH(E1715,Categories!$A:$A,0)))</f>
        <v/>
      </c>
      <c r="I1715" s="7" t="str">
        <f t="array" ref="I1715">IF(ISBLANK(F1715), "", INDEX(Categories!$B:$B,MATCH(F1715,Categories!$A:$A,0)))</f>
        <v/>
      </c>
      <c r="J1715" s="4"/>
      <c r="K1715" s="4"/>
      <c r="L1715" s="4"/>
      <c r="M1715" s="4"/>
      <c r="N1715" s="4"/>
      <c r="O1715" s="4"/>
      <c r="P1715" s="4"/>
      <c r="Q1715" s="4"/>
    </row>
    <row r="1716">
      <c r="A1716" s="5">
        <v>1715.0</v>
      </c>
      <c r="B1716" s="5" t="s">
        <v>2161</v>
      </c>
      <c r="C1716" s="5" t="s">
        <v>34</v>
      </c>
      <c r="D1716" s="6">
        <f>IFERROR(__xludf.DUMMYFUNCTION("SPLIT(MID(C1716,2,LEN(C1716)-2), "","")"),228.0)</f>
        <v>228</v>
      </c>
      <c r="E1716" s="7"/>
      <c r="F1716" s="7"/>
      <c r="G1716" s="2" t="str">
        <f t="array" ref="G1716">IF(ISBLANK(D1716), "", INDEX(Categories!$B:$B,MATCH(D1716,Categories!$A:$A,0)))</f>
        <v>Restaurants</v>
      </c>
      <c r="H1716" s="7" t="str">
        <f t="array" ref="H1716">IF(ISBLANK(E1716), "", INDEX(Categories!$B:$B,MATCH(E1716,Categories!$A:$A,0)))</f>
        <v/>
      </c>
      <c r="I1716" s="7" t="str">
        <f t="array" ref="I1716">IF(ISBLANK(F1716), "", INDEX(Categories!$B:$B,MATCH(F1716,Categories!$A:$A,0)))</f>
        <v/>
      </c>
      <c r="J1716" s="4"/>
      <c r="K1716" s="4"/>
      <c r="L1716" s="4"/>
      <c r="M1716" s="4"/>
      <c r="N1716" s="4"/>
      <c r="O1716" s="4"/>
      <c r="P1716" s="4"/>
      <c r="Q1716" s="4"/>
    </row>
    <row r="1717">
      <c r="A1717" s="5">
        <v>1716.0</v>
      </c>
      <c r="B1717" s="5" t="s">
        <v>2162</v>
      </c>
      <c r="C1717" s="5" t="s">
        <v>34</v>
      </c>
      <c r="D1717" s="6">
        <f>IFERROR(__xludf.DUMMYFUNCTION("SPLIT(MID(C1717,2,LEN(C1717)-2), "","")"),228.0)</f>
        <v>228</v>
      </c>
      <c r="E1717" s="7"/>
      <c r="F1717" s="7"/>
      <c r="G1717" s="2" t="str">
        <f t="array" ref="G1717">IF(ISBLANK(D1717), "", INDEX(Categories!$B:$B,MATCH(D1717,Categories!$A:$A,0)))</f>
        <v>Restaurants</v>
      </c>
      <c r="H1717" s="7" t="str">
        <f t="array" ref="H1717">IF(ISBLANK(E1717), "", INDEX(Categories!$B:$B,MATCH(E1717,Categories!$A:$A,0)))</f>
        <v/>
      </c>
      <c r="I1717" s="7" t="str">
        <f t="array" ref="I1717">IF(ISBLANK(F1717), "", INDEX(Categories!$B:$B,MATCH(F1717,Categories!$A:$A,0)))</f>
        <v/>
      </c>
      <c r="J1717" s="4"/>
      <c r="K1717" s="4"/>
      <c r="L1717" s="4"/>
      <c r="M1717" s="4"/>
      <c r="N1717" s="4"/>
      <c r="O1717" s="4"/>
      <c r="P1717" s="4"/>
      <c r="Q1717" s="4"/>
    </row>
    <row r="1718">
      <c r="A1718" s="5">
        <v>1717.0</v>
      </c>
      <c r="B1718" s="5" t="s">
        <v>2163</v>
      </c>
      <c r="C1718" s="5" t="s">
        <v>34</v>
      </c>
      <c r="D1718" s="6">
        <f>IFERROR(__xludf.DUMMYFUNCTION("SPLIT(MID(C1718,2,LEN(C1718)-2), "","")"),228.0)</f>
        <v>228</v>
      </c>
      <c r="E1718" s="7"/>
      <c r="F1718" s="7"/>
      <c r="G1718" s="2" t="str">
        <f t="array" ref="G1718">IF(ISBLANK(D1718), "", INDEX(Categories!$B:$B,MATCH(D1718,Categories!$A:$A,0)))</f>
        <v>Restaurants</v>
      </c>
      <c r="H1718" s="7" t="str">
        <f t="array" ref="H1718">IF(ISBLANK(E1718), "", INDEX(Categories!$B:$B,MATCH(E1718,Categories!$A:$A,0)))</f>
        <v/>
      </c>
      <c r="I1718" s="7" t="str">
        <f t="array" ref="I1718">IF(ISBLANK(F1718), "", INDEX(Categories!$B:$B,MATCH(F1718,Categories!$A:$A,0)))</f>
        <v/>
      </c>
      <c r="J1718" s="4"/>
      <c r="K1718" s="4"/>
      <c r="L1718" s="4"/>
      <c r="M1718" s="4"/>
      <c r="N1718" s="4"/>
      <c r="O1718" s="4"/>
      <c r="P1718" s="4"/>
      <c r="Q1718" s="4"/>
    </row>
    <row r="1719">
      <c r="A1719" s="5">
        <v>1718.0</v>
      </c>
      <c r="B1719" s="5" t="s">
        <v>2164</v>
      </c>
      <c r="C1719" s="5" t="s">
        <v>34</v>
      </c>
      <c r="D1719" s="6">
        <f>IFERROR(__xludf.DUMMYFUNCTION("SPLIT(MID(C1719,2,LEN(C1719)-2), "","")"),228.0)</f>
        <v>228</v>
      </c>
      <c r="E1719" s="7"/>
      <c r="F1719" s="7"/>
      <c r="G1719" s="2" t="str">
        <f t="array" ref="G1719">IF(ISBLANK(D1719), "", INDEX(Categories!$B:$B,MATCH(D1719,Categories!$A:$A,0)))</f>
        <v>Restaurants</v>
      </c>
      <c r="H1719" s="7" t="str">
        <f t="array" ref="H1719">IF(ISBLANK(E1719), "", INDEX(Categories!$B:$B,MATCH(E1719,Categories!$A:$A,0)))</f>
        <v/>
      </c>
      <c r="I1719" s="7" t="str">
        <f t="array" ref="I1719">IF(ISBLANK(F1719), "", INDEX(Categories!$B:$B,MATCH(F1719,Categories!$A:$A,0)))</f>
        <v/>
      </c>
      <c r="J1719" s="4"/>
      <c r="K1719" s="4"/>
      <c r="L1719" s="4"/>
      <c r="M1719" s="4"/>
      <c r="N1719" s="4"/>
      <c r="O1719" s="4"/>
      <c r="P1719" s="4"/>
      <c r="Q1719" s="4"/>
    </row>
    <row r="1720">
      <c r="A1720" s="5">
        <v>1719.0</v>
      </c>
      <c r="B1720" s="5" t="s">
        <v>2165</v>
      </c>
      <c r="C1720" s="5" t="s">
        <v>62</v>
      </c>
      <c r="D1720" s="6">
        <f>IFERROR(__xludf.DUMMYFUNCTION("SPLIT(MID(C1720,2,LEN(C1720)-2), "","")"),242.0)</f>
        <v>242</v>
      </c>
      <c r="E1720" s="7"/>
      <c r="F1720" s="7"/>
      <c r="G1720" s="2" t="str">
        <f t="array" ref="G1720">IF(ISBLANK(D1720), "", INDEX(Categories!$B:$B,MATCH(D1720,Categories!$A:$A,0)))</f>
        <v>Restaurants Pizza</v>
      </c>
      <c r="H1720" s="7" t="str">
        <f t="array" ref="H1720">IF(ISBLANK(E1720), "", INDEX(Categories!$B:$B,MATCH(E1720,Categories!$A:$A,0)))</f>
        <v/>
      </c>
      <c r="I1720" s="7" t="str">
        <f t="array" ref="I1720">IF(ISBLANK(F1720), "", INDEX(Categories!$B:$B,MATCH(F1720,Categories!$A:$A,0)))</f>
        <v/>
      </c>
      <c r="J1720" s="4"/>
      <c r="K1720" s="4"/>
      <c r="L1720" s="4"/>
      <c r="M1720" s="4"/>
      <c r="N1720" s="4"/>
      <c r="O1720" s="4"/>
      <c r="P1720" s="4"/>
      <c r="Q1720" s="4"/>
    </row>
    <row r="1721">
      <c r="A1721" s="5">
        <v>1720.0</v>
      </c>
      <c r="B1721" s="5" t="s">
        <v>2166</v>
      </c>
      <c r="C1721" s="5" t="s">
        <v>34</v>
      </c>
      <c r="D1721" s="6">
        <f>IFERROR(__xludf.DUMMYFUNCTION("SPLIT(MID(C1721,2,LEN(C1721)-2), "","")"),228.0)</f>
        <v>228</v>
      </c>
      <c r="E1721" s="7"/>
      <c r="F1721" s="7"/>
      <c r="G1721" s="2" t="str">
        <f t="array" ref="G1721">IF(ISBLANK(D1721), "", INDEX(Categories!$B:$B,MATCH(D1721,Categories!$A:$A,0)))</f>
        <v>Restaurants</v>
      </c>
      <c r="H1721" s="7" t="str">
        <f t="array" ref="H1721">IF(ISBLANK(E1721), "", INDEX(Categories!$B:$B,MATCH(E1721,Categories!$A:$A,0)))</f>
        <v/>
      </c>
      <c r="I1721" s="7" t="str">
        <f t="array" ref="I1721">IF(ISBLANK(F1721), "", INDEX(Categories!$B:$B,MATCH(F1721,Categories!$A:$A,0)))</f>
        <v/>
      </c>
      <c r="J1721" s="4"/>
      <c r="K1721" s="4"/>
      <c r="L1721" s="4"/>
      <c r="M1721" s="4"/>
      <c r="N1721" s="4"/>
      <c r="O1721" s="4"/>
      <c r="P1721" s="4"/>
      <c r="Q1721" s="4"/>
    </row>
    <row r="1722">
      <c r="A1722" s="5">
        <v>1721.0</v>
      </c>
      <c r="B1722" s="5" t="s">
        <v>2167</v>
      </c>
      <c r="C1722" s="5" t="s">
        <v>99</v>
      </c>
      <c r="D1722" s="6">
        <f>IFERROR(__xludf.DUMMYFUNCTION("SPLIT(MID(C1722,2,LEN(C1722)-2), "","")"),2331.0)</f>
        <v>2331</v>
      </c>
      <c r="E1722" s="7"/>
      <c r="F1722" s="7"/>
      <c r="G1722" s="2" t="str">
        <f t="array" ref="G1722">IF(ISBLANK(D1722), "", INDEX(Categories!$B:$B,MATCH(D1722,Categories!$A:$A,0)))</f>
        <v>Donuts</v>
      </c>
      <c r="H1722" s="7" t="str">
        <f t="array" ref="H1722">IF(ISBLANK(E1722), "", INDEX(Categories!$B:$B,MATCH(E1722,Categories!$A:$A,0)))</f>
        <v/>
      </c>
      <c r="I1722" s="7" t="str">
        <f t="array" ref="I1722">IF(ISBLANK(F1722), "", INDEX(Categories!$B:$B,MATCH(F1722,Categories!$A:$A,0)))</f>
        <v/>
      </c>
      <c r="J1722" s="4"/>
      <c r="K1722" s="4"/>
      <c r="L1722" s="4"/>
      <c r="M1722" s="4"/>
      <c r="N1722" s="4"/>
      <c r="O1722" s="4"/>
      <c r="P1722" s="4"/>
      <c r="Q1722" s="4"/>
    </row>
    <row r="1723">
      <c r="A1723" s="5">
        <v>1722.0</v>
      </c>
      <c r="B1723" s="5" t="s">
        <v>2168</v>
      </c>
      <c r="C1723" s="5" t="s">
        <v>249</v>
      </c>
      <c r="D1723" s="6">
        <f>IFERROR(__xludf.DUMMYFUNCTION("SPLIT(MID(C1723,2,LEN(C1723)-2), "","")"),593.0)</f>
        <v>593</v>
      </c>
      <c r="E1723" s="7"/>
      <c r="F1723" s="7"/>
      <c r="G1723" s="2" t="str">
        <f t="array" ref="G1723">IF(ISBLANK(D1723), "", INDEX(Categories!$B:$B,MATCH(D1723,Categories!$A:$A,0)))</f>
        <v>Ice Cream &amp; Frozen Desserts Dealers</v>
      </c>
      <c r="H1723" s="7" t="str">
        <f t="array" ref="H1723">IF(ISBLANK(E1723), "", INDEX(Categories!$B:$B,MATCH(E1723,Categories!$A:$A,0)))</f>
        <v/>
      </c>
      <c r="I1723" s="7" t="str">
        <f t="array" ref="I1723">IF(ISBLANK(F1723), "", INDEX(Categories!$B:$B,MATCH(F1723,Categories!$A:$A,0)))</f>
        <v/>
      </c>
      <c r="J1723" s="4"/>
      <c r="K1723" s="4"/>
      <c r="L1723" s="4"/>
      <c r="M1723" s="4"/>
      <c r="N1723" s="4"/>
      <c r="O1723" s="4"/>
      <c r="P1723" s="4"/>
      <c r="Q1723" s="4"/>
    </row>
    <row r="1724">
      <c r="A1724" s="5">
        <v>1723.0</v>
      </c>
      <c r="B1724" s="5" t="s">
        <v>2169</v>
      </c>
      <c r="C1724" s="5" t="s">
        <v>34</v>
      </c>
      <c r="D1724" s="6">
        <f>IFERROR(__xludf.DUMMYFUNCTION("SPLIT(MID(C1724,2,LEN(C1724)-2), "","")"),228.0)</f>
        <v>228</v>
      </c>
      <c r="E1724" s="7"/>
      <c r="F1724" s="7"/>
      <c r="G1724" s="2" t="str">
        <f t="array" ref="G1724">IF(ISBLANK(D1724), "", INDEX(Categories!$B:$B,MATCH(D1724,Categories!$A:$A,0)))</f>
        <v>Restaurants</v>
      </c>
      <c r="H1724" s="7" t="str">
        <f t="array" ref="H1724">IF(ISBLANK(E1724), "", INDEX(Categories!$B:$B,MATCH(E1724,Categories!$A:$A,0)))</f>
        <v/>
      </c>
      <c r="I1724" s="7" t="str">
        <f t="array" ref="I1724">IF(ISBLANK(F1724), "", INDEX(Categories!$B:$B,MATCH(F1724,Categories!$A:$A,0)))</f>
        <v/>
      </c>
      <c r="J1724" s="4"/>
      <c r="K1724" s="4"/>
      <c r="L1724" s="4"/>
      <c r="M1724" s="4"/>
      <c r="N1724" s="4"/>
      <c r="O1724" s="4"/>
      <c r="P1724" s="4"/>
      <c r="Q1724" s="4"/>
    </row>
    <row r="1725">
      <c r="A1725" s="5">
        <v>1724.0</v>
      </c>
      <c r="B1725" s="5" t="s">
        <v>2170</v>
      </c>
      <c r="C1725" s="5" t="s">
        <v>34</v>
      </c>
      <c r="D1725" s="6">
        <f>IFERROR(__xludf.DUMMYFUNCTION("SPLIT(MID(C1725,2,LEN(C1725)-2), "","")"),228.0)</f>
        <v>228</v>
      </c>
      <c r="E1725" s="7"/>
      <c r="F1725" s="7"/>
      <c r="G1725" s="2" t="str">
        <f t="array" ref="G1725">IF(ISBLANK(D1725), "", INDEX(Categories!$B:$B,MATCH(D1725,Categories!$A:$A,0)))</f>
        <v>Restaurants</v>
      </c>
      <c r="H1725" s="7" t="str">
        <f t="array" ref="H1725">IF(ISBLANK(E1725), "", INDEX(Categories!$B:$B,MATCH(E1725,Categories!$A:$A,0)))</f>
        <v/>
      </c>
      <c r="I1725" s="7" t="str">
        <f t="array" ref="I1725">IF(ISBLANK(F1725), "", INDEX(Categories!$B:$B,MATCH(F1725,Categories!$A:$A,0)))</f>
        <v/>
      </c>
      <c r="J1725" s="4"/>
      <c r="K1725" s="4"/>
      <c r="L1725" s="4"/>
      <c r="M1725" s="4"/>
      <c r="N1725" s="4"/>
      <c r="O1725" s="4"/>
      <c r="P1725" s="4"/>
      <c r="Q1725" s="4"/>
    </row>
    <row r="1726">
      <c r="A1726" s="5">
        <v>1725.0</v>
      </c>
      <c r="B1726" s="5" t="s">
        <v>2171</v>
      </c>
      <c r="C1726" s="5" t="s">
        <v>34</v>
      </c>
      <c r="D1726" s="6">
        <f>IFERROR(__xludf.DUMMYFUNCTION("SPLIT(MID(C1726,2,LEN(C1726)-2), "","")"),228.0)</f>
        <v>228</v>
      </c>
      <c r="E1726" s="7"/>
      <c r="F1726" s="7"/>
      <c r="G1726" s="2" t="str">
        <f t="array" ref="G1726">IF(ISBLANK(D1726), "", INDEX(Categories!$B:$B,MATCH(D1726,Categories!$A:$A,0)))</f>
        <v>Restaurants</v>
      </c>
      <c r="H1726" s="7" t="str">
        <f t="array" ref="H1726">IF(ISBLANK(E1726), "", INDEX(Categories!$B:$B,MATCH(E1726,Categories!$A:$A,0)))</f>
        <v/>
      </c>
      <c r="I1726" s="7" t="str">
        <f t="array" ref="I1726">IF(ISBLANK(F1726), "", INDEX(Categories!$B:$B,MATCH(F1726,Categories!$A:$A,0)))</f>
        <v/>
      </c>
      <c r="J1726" s="4"/>
      <c r="K1726" s="4"/>
      <c r="L1726" s="4"/>
      <c r="M1726" s="4"/>
      <c r="N1726" s="4"/>
      <c r="O1726" s="4"/>
      <c r="P1726" s="4"/>
      <c r="Q1726" s="4"/>
    </row>
    <row r="1727">
      <c r="A1727" s="5">
        <v>1726.0</v>
      </c>
      <c r="B1727" s="5" t="s">
        <v>2172</v>
      </c>
      <c r="C1727" s="5" t="s">
        <v>34</v>
      </c>
      <c r="D1727" s="6">
        <f>IFERROR(__xludf.DUMMYFUNCTION("SPLIT(MID(C1727,2,LEN(C1727)-2), "","")"),228.0)</f>
        <v>228</v>
      </c>
      <c r="E1727" s="7"/>
      <c r="F1727" s="7"/>
      <c r="G1727" s="2" t="str">
        <f t="array" ref="G1727">IF(ISBLANK(D1727), "", INDEX(Categories!$B:$B,MATCH(D1727,Categories!$A:$A,0)))</f>
        <v>Restaurants</v>
      </c>
      <c r="H1727" s="7" t="str">
        <f t="array" ref="H1727">IF(ISBLANK(E1727), "", INDEX(Categories!$B:$B,MATCH(E1727,Categories!$A:$A,0)))</f>
        <v/>
      </c>
      <c r="I1727" s="7" t="str">
        <f t="array" ref="I1727">IF(ISBLANK(F1727), "", INDEX(Categories!$B:$B,MATCH(F1727,Categories!$A:$A,0)))</f>
        <v/>
      </c>
      <c r="J1727" s="4"/>
      <c r="K1727" s="4"/>
      <c r="L1727" s="4"/>
      <c r="M1727" s="4"/>
      <c r="N1727" s="4"/>
      <c r="O1727" s="4"/>
      <c r="P1727" s="4"/>
      <c r="Q1727" s="4"/>
    </row>
    <row r="1728">
      <c r="A1728" s="5">
        <v>1727.0</v>
      </c>
      <c r="B1728" s="5" t="s">
        <v>2173</v>
      </c>
      <c r="C1728" s="5" t="s">
        <v>34</v>
      </c>
      <c r="D1728" s="6">
        <f>IFERROR(__xludf.DUMMYFUNCTION("SPLIT(MID(C1728,2,LEN(C1728)-2), "","")"),228.0)</f>
        <v>228</v>
      </c>
      <c r="E1728" s="7"/>
      <c r="F1728" s="7"/>
      <c r="G1728" s="2" t="str">
        <f t="array" ref="G1728">IF(ISBLANK(D1728), "", INDEX(Categories!$B:$B,MATCH(D1728,Categories!$A:$A,0)))</f>
        <v>Restaurants</v>
      </c>
      <c r="H1728" s="7" t="str">
        <f t="array" ref="H1728">IF(ISBLANK(E1728), "", INDEX(Categories!$B:$B,MATCH(E1728,Categories!$A:$A,0)))</f>
        <v/>
      </c>
      <c r="I1728" s="7" t="str">
        <f t="array" ref="I1728">IF(ISBLANK(F1728), "", INDEX(Categories!$B:$B,MATCH(F1728,Categories!$A:$A,0)))</f>
        <v/>
      </c>
      <c r="J1728" s="4"/>
      <c r="K1728" s="4"/>
      <c r="L1728" s="4"/>
      <c r="M1728" s="4"/>
      <c r="N1728" s="4"/>
      <c r="O1728" s="4"/>
      <c r="P1728" s="4"/>
      <c r="Q1728" s="4"/>
    </row>
    <row r="1729">
      <c r="A1729" s="5">
        <v>1728.0</v>
      </c>
      <c r="B1729" s="5" t="s">
        <v>2174</v>
      </c>
      <c r="C1729" s="5" t="s">
        <v>1148</v>
      </c>
      <c r="D1729" s="6">
        <f>IFERROR(__xludf.DUMMYFUNCTION("SPLIT(MID(C1729,2,LEN(C1729)-2), "","")"),235.0)</f>
        <v>235</v>
      </c>
      <c r="E1729" s="7"/>
      <c r="F1729" s="7"/>
      <c r="G1729" s="2" t="str">
        <f t="array" ref="G1729">IF(ISBLANK(D1729), "", INDEX(Categories!$B:$B,MATCH(D1729,Categories!$A:$A,0)))</f>
        <v>Restaurants Barbecue</v>
      </c>
      <c r="H1729" s="7" t="str">
        <f t="array" ref="H1729">IF(ISBLANK(E1729), "", INDEX(Categories!$B:$B,MATCH(E1729,Categories!$A:$A,0)))</f>
        <v/>
      </c>
      <c r="I1729" s="7" t="str">
        <f t="array" ref="I1729">IF(ISBLANK(F1729), "", INDEX(Categories!$B:$B,MATCH(F1729,Categories!$A:$A,0)))</f>
        <v/>
      </c>
      <c r="J1729" s="4"/>
      <c r="K1729" s="4"/>
      <c r="L1729" s="4"/>
      <c r="M1729" s="4"/>
      <c r="N1729" s="4"/>
      <c r="O1729" s="4"/>
      <c r="P1729" s="4"/>
      <c r="Q1729" s="4"/>
    </row>
    <row r="1730">
      <c r="A1730" s="5">
        <v>1729.0</v>
      </c>
      <c r="B1730" s="5" t="s">
        <v>2175</v>
      </c>
      <c r="C1730" s="5" t="s">
        <v>34</v>
      </c>
      <c r="D1730" s="6">
        <f>IFERROR(__xludf.DUMMYFUNCTION("SPLIT(MID(C1730,2,LEN(C1730)-2), "","")"),228.0)</f>
        <v>228</v>
      </c>
      <c r="E1730" s="7"/>
      <c r="F1730" s="7"/>
      <c r="G1730" s="2" t="str">
        <f t="array" ref="G1730">IF(ISBLANK(D1730), "", INDEX(Categories!$B:$B,MATCH(D1730,Categories!$A:$A,0)))</f>
        <v>Restaurants</v>
      </c>
      <c r="H1730" s="7" t="str">
        <f t="array" ref="H1730">IF(ISBLANK(E1730), "", INDEX(Categories!$B:$B,MATCH(E1730,Categories!$A:$A,0)))</f>
        <v/>
      </c>
      <c r="I1730" s="7" t="str">
        <f t="array" ref="I1730">IF(ISBLANK(F1730), "", INDEX(Categories!$B:$B,MATCH(F1730,Categories!$A:$A,0)))</f>
        <v/>
      </c>
      <c r="J1730" s="4"/>
      <c r="K1730" s="4"/>
      <c r="L1730" s="4"/>
      <c r="M1730" s="4"/>
      <c r="N1730" s="4"/>
      <c r="O1730" s="4"/>
      <c r="P1730" s="4"/>
      <c r="Q1730" s="4"/>
    </row>
    <row r="1731">
      <c r="A1731" s="5">
        <v>1730.0</v>
      </c>
      <c r="B1731" s="5" t="s">
        <v>2176</v>
      </c>
      <c r="C1731" s="5" t="s">
        <v>34</v>
      </c>
      <c r="D1731" s="6">
        <f>IFERROR(__xludf.DUMMYFUNCTION("SPLIT(MID(C1731,2,LEN(C1731)-2), "","")"),228.0)</f>
        <v>228</v>
      </c>
      <c r="E1731" s="7"/>
      <c r="F1731" s="7"/>
      <c r="G1731" s="2" t="str">
        <f t="array" ref="G1731">IF(ISBLANK(D1731), "", INDEX(Categories!$B:$B,MATCH(D1731,Categories!$A:$A,0)))</f>
        <v>Restaurants</v>
      </c>
      <c r="H1731" s="7" t="str">
        <f t="array" ref="H1731">IF(ISBLANK(E1731), "", INDEX(Categories!$B:$B,MATCH(E1731,Categories!$A:$A,0)))</f>
        <v/>
      </c>
      <c r="I1731" s="7" t="str">
        <f t="array" ref="I1731">IF(ISBLANK(F1731), "", INDEX(Categories!$B:$B,MATCH(F1731,Categories!$A:$A,0)))</f>
        <v/>
      </c>
      <c r="J1731" s="4"/>
      <c r="K1731" s="4"/>
      <c r="L1731" s="4"/>
      <c r="M1731" s="4"/>
      <c r="N1731" s="4"/>
      <c r="O1731" s="4"/>
      <c r="P1731" s="4"/>
      <c r="Q1731" s="4"/>
    </row>
    <row r="1732">
      <c r="A1732" s="5">
        <v>1731.0</v>
      </c>
      <c r="B1732" s="5" t="s">
        <v>2177</v>
      </c>
      <c r="C1732" s="5" t="s">
        <v>34</v>
      </c>
      <c r="D1732" s="6">
        <f>IFERROR(__xludf.DUMMYFUNCTION("SPLIT(MID(C1732,2,LEN(C1732)-2), "","")"),228.0)</f>
        <v>228</v>
      </c>
      <c r="E1732" s="7"/>
      <c r="F1732" s="7"/>
      <c r="G1732" s="2" t="str">
        <f t="array" ref="G1732">IF(ISBLANK(D1732), "", INDEX(Categories!$B:$B,MATCH(D1732,Categories!$A:$A,0)))</f>
        <v>Restaurants</v>
      </c>
      <c r="H1732" s="7" t="str">
        <f t="array" ref="H1732">IF(ISBLANK(E1732), "", INDEX(Categories!$B:$B,MATCH(E1732,Categories!$A:$A,0)))</f>
        <v/>
      </c>
      <c r="I1732" s="7" t="str">
        <f t="array" ref="I1732">IF(ISBLANK(F1732), "", INDEX(Categories!$B:$B,MATCH(F1732,Categories!$A:$A,0)))</f>
        <v/>
      </c>
      <c r="J1732" s="4"/>
      <c r="K1732" s="4"/>
      <c r="L1732" s="4"/>
      <c r="M1732" s="4"/>
      <c r="N1732" s="4"/>
      <c r="O1732" s="4"/>
      <c r="P1732" s="4"/>
      <c r="Q1732" s="4"/>
    </row>
    <row r="1733">
      <c r="A1733" s="5">
        <v>1732.0</v>
      </c>
      <c r="B1733" s="5" t="s">
        <v>2178</v>
      </c>
      <c r="C1733" s="5" t="s">
        <v>34</v>
      </c>
      <c r="D1733" s="6">
        <f>IFERROR(__xludf.DUMMYFUNCTION("SPLIT(MID(C1733,2,LEN(C1733)-2), "","")"),228.0)</f>
        <v>228</v>
      </c>
      <c r="E1733" s="7"/>
      <c r="F1733" s="7"/>
      <c r="G1733" s="2" t="str">
        <f t="array" ref="G1733">IF(ISBLANK(D1733), "", INDEX(Categories!$B:$B,MATCH(D1733,Categories!$A:$A,0)))</f>
        <v>Restaurants</v>
      </c>
      <c r="H1733" s="7" t="str">
        <f t="array" ref="H1733">IF(ISBLANK(E1733), "", INDEX(Categories!$B:$B,MATCH(E1733,Categories!$A:$A,0)))</f>
        <v/>
      </c>
      <c r="I1733" s="7" t="str">
        <f t="array" ref="I1733">IF(ISBLANK(F1733), "", INDEX(Categories!$B:$B,MATCH(F1733,Categories!$A:$A,0)))</f>
        <v/>
      </c>
      <c r="J1733" s="4"/>
      <c r="K1733" s="4"/>
      <c r="L1733" s="4"/>
      <c r="M1733" s="4"/>
      <c r="N1733" s="4"/>
      <c r="O1733" s="4"/>
      <c r="P1733" s="4"/>
      <c r="Q1733" s="4"/>
    </row>
    <row r="1734">
      <c r="A1734" s="5">
        <v>1733.0</v>
      </c>
      <c r="B1734" s="5" t="s">
        <v>2179</v>
      </c>
      <c r="C1734" s="5" t="s">
        <v>34</v>
      </c>
      <c r="D1734" s="6">
        <f>IFERROR(__xludf.DUMMYFUNCTION("SPLIT(MID(C1734,2,LEN(C1734)-2), "","")"),228.0)</f>
        <v>228</v>
      </c>
      <c r="E1734" s="7"/>
      <c r="F1734" s="7"/>
      <c r="G1734" s="2" t="str">
        <f t="array" ref="G1734">IF(ISBLANK(D1734), "", INDEX(Categories!$B:$B,MATCH(D1734,Categories!$A:$A,0)))</f>
        <v>Restaurants</v>
      </c>
      <c r="H1734" s="7" t="str">
        <f t="array" ref="H1734">IF(ISBLANK(E1734), "", INDEX(Categories!$B:$B,MATCH(E1734,Categories!$A:$A,0)))</f>
        <v/>
      </c>
      <c r="I1734" s="7" t="str">
        <f t="array" ref="I1734">IF(ISBLANK(F1734), "", INDEX(Categories!$B:$B,MATCH(F1734,Categories!$A:$A,0)))</f>
        <v/>
      </c>
      <c r="J1734" s="4"/>
      <c r="K1734" s="4"/>
      <c r="L1734" s="4"/>
      <c r="M1734" s="4"/>
      <c r="N1734" s="4"/>
      <c r="O1734" s="4"/>
      <c r="P1734" s="4"/>
      <c r="Q1734" s="4"/>
    </row>
    <row r="1735">
      <c r="A1735" s="5">
        <v>1734.0</v>
      </c>
      <c r="B1735" s="5" t="s">
        <v>2180</v>
      </c>
      <c r="C1735" s="5" t="s">
        <v>34</v>
      </c>
      <c r="D1735" s="6">
        <f>IFERROR(__xludf.DUMMYFUNCTION("SPLIT(MID(C1735,2,LEN(C1735)-2), "","")"),228.0)</f>
        <v>228</v>
      </c>
      <c r="E1735" s="7"/>
      <c r="F1735" s="7"/>
      <c r="G1735" s="2" t="str">
        <f t="array" ref="G1735">IF(ISBLANK(D1735), "", INDEX(Categories!$B:$B,MATCH(D1735,Categories!$A:$A,0)))</f>
        <v>Restaurants</v>
      </c>
      <c r="H1735" s="7" t="str">
        <f t="array" ref="H1735">IF(ISBLANK(E1735), "", INDEX(Categories!$B:$B,MATCH(E1735,Categories!$A:$A,0)))</f>
        <v/>
      </c>
      <c r="I1735" s="7" t="str">
        <f t="array" ref="I1735">IF(ISBLANK(F1735), "", INDEX(Categories!$B:$B,MATCH(F1735,Categories!$A:$A,0)))</f>
        <v/>
      </c>
      <c r="J1735" s="4"/>
      <c r="K1735" s="4"/>
      <c r="L1735" s="4"/>
      <c r="M1735" s="4"/>
      <c r="N1735" s="4"/>
      <c r="O1735" s="4"/>
      <c r="P1735" s="4"/>
      <c r="Q1735" s="4"/>
    </row>
    <row r="1736">
      <c r="A1736" s="5">
        <v>1735.0</v>
      </c>
      <c r="B1736" s="5" t="s">
        <v>2181</v>
      </c>
      <c r="C1736" s="5" t="s">
        <v>1148</v>
      </c>
      <c r="D1736" s="6">
        <f>IFERROR(__xludf.DUMMYFUNCTION("SPLIT(MID(C1736,2,LEN(C1736)-2), "","")"),235.0)</f>
        <v>235</v>
      </c>
      <c r="E1736" s="7"/>
      <c r="F1736" s="7"/>
      <c r="G1736" s="2" t="str">
        <f t="array" ref="G1736">IF(ISBLANK(D1736), "", INDEX(Categories!$B:$B,MATCH(D1736,Categories!$A:$A,0)))</f>
        <v>Restaurants Barbecue</v>
      </c>
      <c r="H1736" s="7" t="str">
        <f t="array" ref="H1736">IF(ISBLANK(E1736), "", INDEX(Categories!$B:$B,MATCH(E1736,Categories!$A:$A,0)))</f>
        <v/>
      </c>
      <c r="I1736" s="7" t="str">
        <f t="array" ref="I1736">IF(ISBLANK(F1736), "", INDEX(Categories!$B:$B,MATCH(F1736,Categories!$A:$A,0)))</f>
        <v/>
      </c>
      <c r="J1736" s="4"/>
      <c r="K1736" s="4"/>
      <c r="L1736" s="4"/>
      <c r="M1736" s="4"/>
      <c r="N1736" s="4"/>
      <c r="O1736" s="4"/>
      <c r="P1736" s="4"/>
      <c r="Q1736" s="4"/>
    </row>
    <row r="1737">
      <c r="A1737" s="5">
        <v>1736.0</v>
      </c>
      <c r="B1737" s="5" t="s">
        <v>2182</v>
      </c>
      <c r="C1737" s="5" t="s">
        <v>34</v>
      </c>
      <c r="D1737" s="6">
        <f>IFERROR(__xludf.DUMMYFUNCTION("SPLIT(MID(C1737,2,LEN(C1737)-2), "","")"),228.0)</f>
        <v>228</v>
      </c>
      <c r="E1737" s="7"/>
      <c r="F1737" s="7"/>
      <c r="G1737" s="2" t="str">
        <f t="array" ref="G1737">IF(ISBLANK(D1737), "", INDEX(Categories!$B:$B,MATCH(D1737,Categories!$A:$A,0)))</f>
        <v>Restaurants</v>
      </c>
      <c r="H1737" s="7" t="str">
        <f t="array" ref="H1737">IF(ISBLANK(E1737), "", INDEX(Categories!$B:$B,MATCH(E1737,Categories!$A:$A,0)))</f>
        <v/>
      </c>
      <c r="I1737" s="7" t="str">
        <f t="array" ref="I1737">IF(ISBLANK(F1737), "", INDEX(Categories!$B:$B,MATCH(F1737,Categories!$A:$A,0)))</f>
        <v/>
      </c>
      <c r="J1737" s="4"/>
      <c r="K1737" s="4"/>
      <c r="L1737" s="4"/>
      <c r="M1737" s="4"/>
      <c r="N1737" s="4"/>
      <c r="O1737" s="4"/>
      <c r="P1737" s="4"/>
      <c r="Q1737" s="4"/>
    </row>
    <row r="1738">
      <c r="A1738" s="5">
        <v>1737.0</v>
      </c>
      <c r="B1738" s="5" t="s">
        <v>2183</v>
      </c>
      <c r="C1738" s="5" t="s">
        <v>164</v>
      </c>
      <c r="D1738" s="6">
        <f>IFERROR(__xludf.DUMMYFUNCTION("SPLIT(MID(C1738,2,LEN(C1738)-2), "","")"),243.0)</f>
        <v>243</v>
      </c>
      <c r="E1738" s="7"/>
      <c r="F1738" s="7"/>
      <c r="G1738" s="2" t="str">
        <f t="array" ref="G1738">IF(ISBLANK(D1738), "", INDEX(Categories!$B:$B,MATCH(D1738,Categories!$A:$A,0)))</f>
        <v>Restaurants Seafood</v>
      </c>
      <c r="H1738" s="7" t="str">
        <f t="array" ref="H1738">IF(ISBLANK(E1738), "", INDEX(Categories!$B:$B,MATCH(E1738,Categories!$A:$A,0)))</f>
        <v/>
      </c>
      <c r="I1738" s="7" t="str">
        <f t="array" ref="I1738">IF(ISBLANK(F1738), "", INDEX(Categories!$B:$B,MATCH(F1738,Categories!$A:$A,0)))</f>
        <v/>
      </c>
      <c r="J1738" s="4"/>
      <c r="K1738" s="4"/>
      <c r="L1738" s="4"/>
      <c r="M1738" s="4"/>
      <c r="N1738" s="4"/>
      <c r="O1738" s="4"/>
      <c r="P1738" s="4"/>
      <c r="Q1738" s="4"/>
    </row>
    <row r="1739">
      <c r="A1739" s="5">
        <v>1738.0</v>
      </c>
      <c r="B1739" s="5" t="s">
        <v>2184</v>
      </c>
      <c r="C1739" s="5" t="s">
        <v>164</v>
      </c>
      <c r="D1739" s="6">
        <f>IFERROR(__xludf.DUMMYFUNCTION("SPLIT(MID(C1739,2,LEN(C1739)-2), "","")"),243.0)</f>
        <v>243</v>
      </c>
      <c r="E1739" s="7"/>
      <c r="F1739" s="7"/>
      <c r="G1739" s="2" t="str">
        <f t="array" ref="G1739">IF(ISBLANK(D1739), "", INDEX(Categories!$B:$B,MATCH(D1739,Categories!$A:$A,0)))</f>
        <v>Restaurants Seafood</v>
      </c>
      <c r="H1739" s="7" t="str">
        <f t="array" ref="H1739">IF(ISBLANK(E1739), "", INDEX(Categories!$B:$B,MATCH(E1739,Categories!$A:$A,0)))</f>
        <v/>
      </c>
      <c r="I1739" s="7" t="str">
        <f t="array" ref="I1739">IF(ISBLANK(F1739), "", INDEX(Categories!$B:$B,MATCH(F1739,Categories!$A:$A,0)))</f>
        <v/>
      </c>
      <c r="J1739" s="4"/>
      <c r="K1739" s="4"/>
      <c r="L1739" s="4"/>
      <c r="M1739" s="4"/>
      <c r="N1739" s="4"/>
      <c r="O1739" s="4"/>
      <c r="P1739" s="4"/>
      <c r="Q1739" s="4"/>
    </row>
    <row r="1740">
      <c r="A1740" s="5">
        <v>1739.0</v>
      </c>
      <c r="B1740" s="5" t="s">
        <v>2185</v>
      </c>
      <c r="C1740" s="5" t="s">
        <v>307</v>
      </c>
      <c r="D1740" s="6">
        <f>IFERROR(__xludf.DUMMYFUNCTION("SPLIT(MID(C1740,2,LEN(C1740)-2), "","")"),241.0)</f>
        <v>241</v>
      </c>
      <c r="E1740" s="7"/>
      <c r="F1740" s="7"/>
      <c r="G1740" s="2" t="str">
        <f t="array" ref="G1740">IF(ISBLANK(D1740), "", INDEX(Categories!$B:$B,MATCH(D1740,Categories!$A:$A,0)))</f>
        <v>Restaurants Mexican</v>
      </c>
      <c r="H1740" s="7" t="str">
        <f t="array" ref="H1740">IF(ISBLANK(E1740), "", INDEX(Categories!$B:$B,MATCH(E1740,Categories!$A:$A,0)))</f>
        <v/>
      </c>
      <c r="I1740" s="7" t="str">
        <f t="array" ref="I1740">IF(ISBLANK(F1740), "", INDEX(Categories!$B:$B,MATCH(F1740,Categories!$A:$A,0)))</f>
        <v/>
      </c>
      <c r="J1740" s="4"/>
      <c r="K1740" s="4"/>
      <c r="L1740" s="4"/>
      <c r="M1740" s="4"/>
      <c r="N1740" s="4"/>
      <c r="O1740" s="4"/>
      <c r="P1740" s="4"/>
      <c r="Q1740" s="4"/>
    </row>
    <row r="1741">
      <c r="A1741" s="5">
        <v>1740.0</v>
      </c>
      <c r="B1741" s="5" t="s">
        <v>2186</v>
      </c>
      <c r="C1741" s="5" t="s">
        <v>307</v>
      </c>
      <c r="D1741" s="6">
        <f>IFERROR(__xludf.DUMMYFUNCTION("SPLIT(MID(C1741,2,LEN(C1741)-2), "","")"),241.0)</f>
        <v>241</v>
      </c>
      <c r="E1741" s="7"/>
      <c r="F1741" s="7"/>
      <c r="G1741" s="2" t="str">
        <f t="array" ref="G1741">IF(ISBLANK(D1741), "", INDEX(Categories!$B:$B,MATCH(D1741,Categories!$A:$A,0)))</f>
        <v>Restaurants Mexican</v>
      </c>
      <c r="H1741" s="7" t="str">
        <f t="array" ref="H1741">IF(ISBLANK(E1741), "", INDEX(Categories!$B:$B,MATCH(E1741,Categories!$A:$A,0)))</f>
        <v/>
      </c>
      <c r="I1741" s="7" t="str">
        <f t="array" ref="I1741">IF(ISBLANK(F1741), "", INDEX(Categories!$B:$B,MATCH(F1741,Categories!$A:$A,0)))</f>
        <v/>
      </c>
      <c r="J1741" s="4"/>
      <c r="K1741" s="4"/>
      <c r="L1741" s="4"/>
      <c r="M1741" s="4"/>
      <c r="N1741" s="4"/>
      <c r="O1741" s="4"/>
      <c r="P1741" s="4"/>
      <c r="Q1741" s="4"/>
    </row>
    <row r="1742">
      <c r="A1742" s="5">
        <v>1741.0</v>
      </c>
      <c r="B1742" s="5" t="s">
        <v>2187</v>
      </c>
      <c r="C1742" s="5" t="s">
        <v>1286</v>
      </c>
      <c r="D1742" s="6">
        <f>IFERROR(__xludf.DUMMYFUNCTION("SPLIT(MID(C1742,2,LEN(C1742)-2), "","")"),1100.0)</f>
        <v>1100</v>
      </c>
      <c r="E1742" s="7"/>
      <c r="F1742" s="7"/>
      <c r="G1742" s="2" t="str">
        <f t="array" ref="G1742">IF(ISBLANK(D1742), "", INDEX(Categories!$B:$B,MATCH(D1742,Categories!$A:$A,0)))</f>
        <v>Bars Grills &amp; Pubs</v>
      </c>
      <c r="H1742" s="7" t="str">
        <f t="array" ref="H1742">IF(ISBLANK(E1742), "", INDEX(Categories!$B:$B,MATCH(E1742,Categories!$A:$A,0)))</f>
        <v/>
      </c>
      <c r="I1742" s="7" t="str">
        <f t="array" ref="I1742">IF(ISBLANK(F1742), "", INDEX(Categories!$B:$B,MATCH(F1742,Categories!$A:$A,0)))</f>
        <v/>
      </c>
      <c r="J1742" s="4"/>
      <c r="K1742" s="4"/>
      <c r="L1742" s="4"/>
      <c r="M1742" s="4"/>
      <c r="N1742" s="4"/>
      <c r="O1742" s="4"/>
      <c r="P1742" s="4"/>
      <c r="Q1742" s="4"/>
    </row>
    <row r="1743">
      <c r="A1743" s="5">
        <v>1742.0</v>
      </c>
      <c r="B1743" s="5" t="s">
        <v>2188</v>
      </c>
      <c r="C1743" s="5" t="s">
        <v>60</v>
      </c>
      <c r="D1743" s="6">
        <f>IFERROR(__xludf.DUMMYFUNCTION("SPLIT(MID(C1743,2,LEN(C1743)-2), "","")"),240.0)</f>
        <v>240</v>
      </c>
      <c r="E1743" s="7"/>
      <c r="F1743" s="7"/>
      <c r="G1743" s="2" t="str">
        <f t="array" ref="G1743">IF(ISBLANK(D1743), "", INDEX(Categories!$B:$B,MATCH(D1743,Categories!$A:$A,0)))</f>
        <v>Restaurants Fast Food</v>
      </c>
      <c r="H1743" s="7" t="str">
        <f t="array" ref="H1743">IF(ISBLANK(E1743), "", INDEX(Categories!$B:$B,MATCH(E1743,Categories!$A:$A,0)))</f>
        <v/>
      </c>
      <c r="I1743" s="7" t="str">
        <f t="array" ref="I1743">IF(ISBLANK(F1743), "", INDEX(Categories!$B:$B,MATCH(F1743,Categories!$A:$A,0)))</f>
        <v/>
      </c>
      <c r="J1743" s="4"/>
      <c r="K1743" s="4"/>
      <c r="L1743" s="4"/>
      <c r="M1743" s="4"/>
      <c r="N1743" s="4"/>
      <c r="O1743" s="4"/>
      <c r="P1743" s="4"/>
      <c r="Q1743" s="4"/>
    </row>
    <row r="1744">
      <c r="A1744" s="5">
        <v>1743.0</v>
      </c>
      <c r="B1744" s="5" t="s">
        <v>2189</v>
      </c>
      <c r="C1744" s="5" t="s">
        <v>34</v>
      </c>
      <c r="D1744" s="6">
        <f>IFERROR(__xludf.DUMMYFUNCTION("SPLIT(MID(C1744,2,LEN(C1744)-2), "","")"),228.0)</f>
        <v>228</v>
      </c>
      <c r="E1744" s="7"/>
      <c r="F1744" s="7"/>
      <c r="G1744" s="2" t="str">
        <f t="array" ref="G1744">IF(ISBLANK(D1744), "", INDEX(Categories!$B:$B,MATCH(D1744,Categories!$A:$A,0)))</f>
        <v>Restaurants</v>
      </c>
      <c r="H1744" s="7" t="str">
        <f t="array" ref="H1744">IF(ISBLANK(E1744), "", INDEX(Categories!$B:$B,MATCH(E1744,Categories!$A:$A,0)))</f>
        <v/>
      </c>
      <c r="I1744" s="7" t="str">
        <f t="array" ref="I1744">IF(ISBLANK(F1744), "", INDEX(Categories!$B:$B,MATCH(F1744,Categories!$A:$A,0)))</f>
        <v/>
      </c>
      <c r="J1744" s="4"/>
      <c r="K1744" s="4"/>
      <c r="L1744" s="4"/>
      <c r="M1744" s="4"/>
      <c r="N1744" s="4"/>
      <c r="O1744" s="4"/>
      <c r="P1744" s="4"/>
      <c r="Q1744" s="4"/>
    </row>
    <row r="1745">
      <c r="A1745" s="5">
        <v>1744.0</v>
      </c>
      <c r="B1745" s="5" t="s">
        <v>2190</v>
      </c>
      <c r="C1745" s="5" t="s">
        <v>62</v>
      </c>
      <c r="D1745" s="6">
        <f>IFERROR(__xludf.DUMMYFUNCTION("SPLIT(MID(C1745,2,LEN(C1745)-2), "","")"),242.0)</f>
        <v>242</v>
      </c>
      <c r="E1745" s="7"/>
      <c r="F1745" s="7"/>
      <c r="G1745" s="2" t="str">
        <f t="array" ref="G1745">IF(ISBLANK(D1745), "", INDEX(Categories!$B:$B,MATCH(D1745,Categories!$A:$A,0)))</f>
        <v>Restaurants Pizza</v>
      </c>
      <c r="H1745" s="7" t="str">
        <f t="array" ref="H1745">IF(ISBLANK(E1745), "", INDEX(Categories!$B:$B,MATCH(E1745,Categories!$A:$A,0)))</f>
        <v/>
      </c>
      <c r="I1745" s="7" t="str">
        <f t="array" ref="I1745">IF(ISBLANK(F1745), "", INDEX(Categories!$B:$B,MATCH(F1745,Categories!$A:$A,0)))</f>
        <v/>
      </c>
      <c r="J1745" s="4"/>
      <c r="K1745" s="4"/>
      <c r="L1745" s="4"/>
      <c r="M1745" s="4"/>
      <c r="N1745" s="4"/>
      <c r="O1745" s="4"/>
      <c r="P1745" s="4"/>
      <c r="Q1745" s="4"/>
    </row>
    <row r="1746">
      <c r="A1746" s="5">
        <v>1745.0</v>
      </c>
      <c r="B1746" s="5" t="s">
        <v>2191</v>
      </c>
      <c r="C1746" s="5" t="s">
        <v>34</v>
      </c>
      <c r="D1746" s="6">
        <f>IFERROR(__xludf.DUMMYFUNCTION("SPLIT(MID(C1746,2,LEN(C1746)-2), "","")"),228.0)</f>
        <v>228</v>
      </c>
      <c r="E1746" s="7"/>
      <c r="F1746" s="7"/>
      <c r="G1746" s="2" t="str">
        <f t="array" ref="G1746">IF(ISBLANK(D1746), "", INDEX(Categories!$B:$B,MATCH(D1746,Categories!$A:$A,0)))</f>
        <v>Restaurants</v>
      </c>
      <c r="H1746" s="7" t="str">
        <f t="array" ref="H1746">IF(ISBLANK(E1746), "", INDEX(Categories!$B:$B,MATCH(E1746,Categories!$A:$A,0)))</f>
        <v/>
      </c>
      <c r="I1746" s="7" t="str">
        <f t="array" ref="I1746">IF(ISBLANK(F1746), "", INDEX(Categories!$B:$B,MATCH(F1746,Categories!$A:$A,0)))</f>
        <v/>
      </c>
      <c r="J1746" s="4"/>
      <c r="K1746" s="4"/>
      <c r="L1746" s="4"/>
      <c r="M1746" s="4"/>
      <c r="N1746" s="4"/>
      <c r="O1746" s="4"/>
      <c r="P1746" s="4"/>
      <c r="Q1746" s="4"/>
    </row>
    <row r="1747">
      <c r="A1747" s="5">
        <v>1746.0</v>
      </c>
      <c r="B1747" s="5" t="s">
        <v>2192</v>
      </c>
      <c r="C1747" s="5" t="s">
        <v>34</v>
      </c>
      <c r="D1747" s="6">
        <f>IFERROR(__xludf.DUMMYFUNCTION("SPLIT(MID(C1747,2,LEN(C1747)-2), "","")"),228.0)</f>
        <v>228</v>
      </c>
      <c r="E1747" s="7"/>
      <c r="F1747" s="7"/>
      <c r="G1747" s="2" t="str">
        <f t="array" ref="G1747">IF(ISBLANK(D1747), "", INDEX(Categories!$B:$B,MATCH(D1747,Categories!$A:$A,0)))</f>
        <v>Restaurants</v>
      </c>
      <c r="H1747" s="7" t="str">
        <f t="array" ref="H1747">IF(ISBLANK(E1747), "", INDEX(Categories!$B:$B,MATCH(E1747,Categories!$A:$A,0)))</f>
        <v/>
      </c>
      <c r="I1747" s="7" t="str">
        <f t="array" ref="I1747">IF(ISBLANK(F1747), "", INDEX(Categories!$B:$B,MATCH(F1747,Categories!$A:$A,0)))</f>
        <v/>
      </c>
      <c r="J1747" s="4"/>
      <c r="K1747" s="4"/>
      <c r="L1747" s="4"/>
      <c r="M1747" s="4"/>
      <c r="N1747" s="4"/>
      <c r="O1747" s="4"/>
      <c r="P1747" s="4"/>
      <c r="Q1747" s="4"/>
    </row>
    <row r="1748">
      <c r="A1748" s="5">
        <v>1747.0</v>
      </c>
      <c r="B1748" s="5" t="s">
        <v>2193</v>
      </c>
      <c r="C1748" s="5" t="s">
        <v>34</v>
      </c>
      <c r="D1748" s="6">
        <f>IFERROR(__xludf.DUMMYFUNCTION("SPLIT(MID(C1748,2,LEN(C1748)-2), "","")"),228.0)</f>
        <v>228</v>
      </c>
      <c r="E1748" s="7"/>
      <c r="F1748" s="7"/>
      <c r="G1748" s="2" t="str">
        <f t="array" ref="G1748">IF(ISBLANK(D1748), "", INDEX(Categories!$B:$B,MATCH(D1748,Categories!$A:$A,0)))</f>
        <v>Restaurants</v>
      </c>
      <c r="H1748" s="7" t="str">
        <f t="array" ref="H1748">IF(ISBLANK(E1748), "", INDEX(Categories!$B:$B,MATCH(E1748,Categories!$A:$A,0)))</f>
        <v/>
      </c>
      <c r="I1748" s="7" t="str">
        <f t="array" ref="I1748">IF(ISBLANK(F1748), "", INDEX(Categories!$B:$B,MATCH(F1748,Categories!$A:$A,0)))</f>
        <v/>
      </c>
      <c r="J1748" s="4"/>
      <c r="K1748" s="4"/>
      <c r="L1748" s="4"/>
      <c r="M1748" s="4"/>
      <c r="N1748" s="4"/>
      <c r="O1748" s="4"/>
      <c r="P1748" s="4"/>
      <c r="Q1748" s="4"/>
    </row>
    <row r="1749">
      <c r="A1749" s="5">
        <v>1748.0</v>
      </c>
      <c r="B1749" s="5" t="s">
        <v>2194</v>
      </c>
      <c r="C1749" s="5" t="s">
        <v>115</v>
      </c>
      <c r="D1749" s="6">
        <f>IFERROR(__xludf.DUMMYFUNCTION("SPLIT(MID(C1749,2,LEN(C1749)-2), "","")"),1272.0)</f>
        <v>1272</v>
      </c>
      <c r="E1749" s="7"/>
      <c r="F1749" s="7"/>
      <c r="G1749" s="2" t="str">
        <f t="array" ref="G1749">IF(ISBLANK(D1749), "", INDEX(Categories!$B:$B,MATCH(D1749,Categories!$A:$A,0)))</f>
        <v>Womens Apparel</v>
      </c>
      <c r="H1749" s="7" t="str">
        <f t="array" ref="H1749">IF(ISBLANK(E1749), "", INDEX(Categories!$B:$B,MATCH(E1749,Categories!$A:$A,0)))</f>
        <v/>
      </c>
      <c r="I1749" s="7" t="str">
        <f t="array" ref="I1749">IF(ISBLANK(F1749), "", INDEX(Categories!$B:$B,MATCH(F1749,Categories!$A:$A,0)))</f>
        <v/>
      </c>
      <c r="J1749" s="4"/>
      <c r="K1749" s="4"/>
      <c r="L1749" s="4"/>
      <c r="M1749" s="4"/>
      <c r="N1749" s="4"/>
      <c r="O1749" s="4"/>
      <c r="P1749" s="4"/>
      <c r="Q1749" s="4"/>
    </row>
    <row r="1750">
      <c r="A1750" s="5">
        <v>1749.0</v>
      </c>
      <c r="B1750" s="5" t="s">
        <v>2195</v>
      </c>
      <c r="C1750" s="5" t="s">
        <v>2196</v>
      </c>
      <c r="D1750" s="6">
        <f>IFERROR(__xludf.DUMMYFUNCTION("SPLIT(MID(C1750,2,LEN(C1750)-2), "","")"),2859.0)</f>
        <v>2859</v>
      </c>
      <c r="E1750" s="7"/>
      <c r="F1750" s="7"/>
      <c r="G1750" s="2" t="str">
        <f t="array" ref="G1750">IF(ISBLANK(D1750), "", INDEX(Categories!$B:$B,MATCH(D1750,Categories!$A:$A,0)))</f>
        <v>Government Services</v>
      </c>
      <c r="H1750" s="7" t="str">
        <f t="array" ref="H1750">IF(ISBLANK(E1750), "", INDEX(Categories!$B:$B,MATCH(E1750,Categories!$A:$A,0)))</f>
        <v/>
      </c>
      <c r="I1750" s="7" t="str">
        <f t="array" ref="I1750">IF(ISBLANK(F1750), "", INDEX(Categories!$B:$B,MATCH(F1750,Categories!$A:$A,0)))</f>
        <v/>
      </c>
      <c r="J1750" s="4"/>
      <c r="K1750" s="4"/>
      <c r="L1750" s="4"/>
      <c r="M1750" s="4"/>
      <c r="N1750" s="4"/>
      <c r="O1750" s="4"/>
      <c r="P1750" s="4"/>
      <c r="Q1750" s="4"/>
    </row>
    <row r="1751">
      <c r="A1751" s="5">
        <v>1750.0</v>
      </c>
      <c r="B1751" s="5" t="s">
        <v>2197</v>
      </c>
      <c r="C1751" s="5" t="s">
        <v>2196</v>
      </c>
      <c r="D1751" s="6">
        <f>IFERROR(__xludf.DUMMYFUNCTION("SPLIT(MID(C1751,2,LEN(C1751)-2), "","")"),2859.0)</f>
        <v>2859</v>
      </c>
      <c r="E1751" s="7"/>
      <c r="F1751" s="7"/>
      <c r="G1751" s="2" t="str">
        <f t="array" ref="G1751">IF(ISBLANK(D1751), "", INDEX(Categories!$B:$B,MATCH(D1751,Categories!$A:$A,0)))</f>
        <v>Government Services</v>
      </c>
      <c r="H1751" s="7" t="str">
        <f t="array" ref="H1751">IF(ISBLANK(E1751), "", INDEX(Categories!$B:$B,MATCH(E1751,Categories!$A:$A,0)))</f>
        <v/>
      </c>
      <c r="I1751" s="7" t="str">
        <f t="array" ref="I1751">IF(ISBLANK(F1751), "", INDEX(Categories!$B:$B,MATCH(F1751,Categories!$A:$A,0)))</f>
        <v/>
      </c>
      <c r="J1751" s="4"/>
      <c r="K1751" s="4"/>
      <c r="L1751" s="4"/>
      <c r="M1751" s="4"/>
      <c r="N1751" s="4"/>
      <c r="O1751" s="4"/>
      <c r="P1751" s="4"/>
      <c r="Q1751" s="4"/>
    </row>
    <row r="1752">
      <c r="A1752" s="5">
        <v>1751.0</v>
      </c>
      <c r="B1752" s="5" t="s">
        <v>2198</v>
      </c>
      <c r="C1752" s="5" t="s">
        <v>1282</v>
      </c>
      <c r="D1752" s="6">
        <f>IFERROR(__xludf.DUMMYFUNCTION("SPLIT(MID(C1752,2,LEN(C1752)-2), "","")"),718.0)</f>
        <v>718</v>
      </c>
      <c r="E1752" s="7"/>
      <c r="F1752" s="7"/>
      <c r="G1752" s="2" t="str">
        <f t="array" ref="G1752">IF(ISBLANK(D1752), "", INDEX(Categories!$B:$B,MATCH(D1752,Categories!$A:$A,0)))</f>
        <v>Computer &amp; Computer Equipment Service &amp; Repair</v>
      </c>
      <c r="H1752" s="7" t="str">
        <f t="array" ref="H1752">IF(ISBLANK(E1752), "", INDEX(Categories!$B:$B,MATCH(E1752,Categories!$A:$A,0)))</f>
        <v/>
      </c>
      <c r="I1752" s="7" t="str">
        <f t="array" ref="I1752">IF(ISBLANK(F1752), "", INDEX(Categories!$B:$B,MATCH(F1752,Categories!$A:$A,0)))</f>
        <v/>
      </c>
      <c r="J1752" s="4"/>
      <c r="K1752" s="4"/>
      <c r="L1752" s="4"/>
      <c r="M1752" s="4"/>
      <c r="N1752" s="4"/>
      <c r="O1752" s="4"/>
      <c r="P1752" s="4"/>
      <c r="Q1752" s="4"/>
    </row>
    <row r="1753">
      <c r="A1753" s="5">
        <v>1752.0</v>
      </c>
      <c r="B1753" s="5" t="s">
        <v>2199</v>
      </c>
      <c r="C1753" s="5" t="s">
        <v>128</v>
      </c>
      <c r="D1753" s="6">
        <f>IFERROR(__xludf.DUMMYFUNCTION("SPLIT(MID(C1753,2,LEN(C1753)-2), "","")"),110.0)</f>
        <v>110</v>
      </c>
      <c r="E1753" s="7"/>
      <c r="F1753" s="7"/>
      <c r="G1753" s="2" t="str">
        <f t="array" ref="G1753">IF(ISBLANK(D1753), "", INDEX(Categories!$B:$B,MATCH(D1753,Categories!$A:$A,0)))</f>
        <v>Automobile - Tires</v>
      </c>
      <c r="H1753" s="7" t="str">
        <f t="array" ref="H1753">IF(ISBLANK(E1753), "", INDEX(Categories!$B:$B,MATCH(E1753,Categories!$A:$A,0)))</f>
        <v/>
      </c>
      <c r="I1753" s="7" t="str">
        <f t="array" ref="I1753">IF(ISBLANK(F1753), "", INDEX(Categories!$B:$B,MATCH(F1753,Categories!$A:$A,0)))</f>
        <v/>
      </c>
      <c r="J1753" s="4"/>
      <c r="K1753" s="4"/>
      <c r="L1753" s="4"/>
      <c r="M1753" s="4"/>
      <c r="N1753" s="4"/>
      <c r="O1753" s="4"/>
      <c r="P1753" s="4"/>
      <c r="Q1753" s="4"/>
    </row>
    <row r="1754">
      <c r="A1754" s="5">
        <v>1753.0</v>
      </c>
      <c r="B1754" s="5" t="s">
        <v>2200</v>
      </c>
      <c r="C1754" s="5" t="s">
        <v>451</v>
      </c>
      <c r="D1754" s="6">
        <f>IFERROR(__xludf.DUMMYFUNCTION("SPLIT(MID(C1754,2,LEN(C1754)-2), "","")"),2192.0)</f>
        <v>2192</v>
      </c>
      <c r="E1754" s="7"/>
      <c r="F1754" s="7"/>
      <c r="G1754" s="2" t="str">
        <f t="array" ref="G1754">IF(ISBLANK(D1754), "", INDEX(Categories!$B:$B,MATCH(D1754,Categories!$A:$A,0)))</f>
        <v>Industrial Equipment &amp; Supplies</v>
      </c>
      <c r="H1754" s="7" t="str">
        <f t="array" ref="H1754">IF(ISBLANK(E1754), "", INDEX(Categories!$B:$B,MATCH(E1754,Categories!$A:$A,0)))</f>
        <v/>
      </c>
      <c r="I1754" s="7" t="str">
        <f t="array" ref="I1754">IF(ISBLANK(F1754), "", INDEX(Categories!$B:$B,MATCH(F1754,Categories!$A:$A,0)))</f>
        <v/>
      </c>
      <c r="J1754" s="4"/>
      <c r="K1754" s="4"/>
      <c r="L1754" s="4"/>
      <c r="M1754" s="4"/>
      <c r="N1754" s="4"/>
      <c r="O1754" s="4"/>
      <c r="P1754" s="4"/>
      <c r="Q1754" s="4"/>
    </row>
    <row r="1755">
      <c r="A1755" s="5">
        <v>1754.0</v>
      </c>
      <c r="B1755" s="5" t="s">
        <v>2201</v>
      </c>
      <c r="C1755" s="5" t="s">
        <v>69</v>
      </c>
      <c r="D1755" s="6">
        <f>IFERROR(__xludf.DUMMYFUNCTION("SPLIT(MID(C1755,2,LEN(C1755)-2), "","")"),293.0)</f>
        <v>293</v>
      </c>
      <c r="E1755" s="7"/>
      <c r="F1755" s="7"/>
      <c r="G1755" s="2" t="str">
        <f t="array" ref="G1755">IF(ISBLANK(D1755), "", INDEX(Categories!$B:$B,MATCH(D1755,Categories!$A:$A,0)))</f>
        <v>Banks Commercial</v>
      </c>
      <c r="H1755" s="7" t="str">
        <f t="array" ref="H1755">IF(ISBLANK(E1755), "", INDEX(Categories!$B:$B,MATCH(E1755,Categories!$A:$A,0)))</f>
        <v/>
      </c>
      <c r="I1755" s="7" t="str">
        <f t="array" ref="I1755">IF(ISBLANK(F1755), "", INDEX(Categories!$B:$B,MATCH(F1755,Categories!$A:$A,0)))</f>
        <v/>
      </c>
      <c r="J1755" s="4"/>
      <c r="K1755" s="4"/>
      <c r="L1755" s="4"/>
      <c r="M1755" s="4"/>
      <c r="N1755" s="4"/>
      <c r="O1755" s="4"/>
      <c r="P1755" s="4"/>
      <c r="Q1755" s="4"/>
    </row>
    <row r="1756">
      <c r="A1756" s="5">
        <v>1755.0</v>
      </c>
      <c r="B1756" s="5" t="s">
        <v>2202</v>
      </c>
      <c r="C1756" s="5" t="s">
        <v>87</v>
      </c>
      <c r="D1756" s="6">
        <f>IFERROR(__xludf.DUMMYFUNCTION("SPLIT(MID(C1756,2,LEN(C1756)-2), "","")"),168.0)</f>
        <v>168</v>
      </c>
      <c r="E1756" s="7"/>
      <c r="F1756" s="7"/>
      <c r="G1756" s="2" t="str">
        <f t="array" ref="G1756">IF(ISBLANK(D1756), "", INDEX(Categories!$B:$B,MATCH(D1756,Categories!$A:$A,0)))</f>
        <v>Hotels &amp; Motels</v>
      </c>
      <c r="H1756" s="7" t="str">
        <f t="array" ref="H1756">IF(ISBLANK(E1756), "", INDEX(Categories!$B:$B,MATCH(E1756,Categories!$A:$A,0)))</f>
        <v/>
      </c>
      <c r="I1756" s="7" t="str">
        <f t="array" ref="I1756">IF(ISBLANK(F1756), "", INDEX(Categories!$B:$B,MATCH(F1756,Categories!$A:$A,0)))</f>
        <v/>
      </c>
      <c r="J1756" s="4"/>
      <c r="K1756" s="4"/>
      <c r="L1756" s="4"/>
      <c r="M1756" s="4"/>
      <c r="N1756" s="4"/>
      <c r="O1756" s="4"/>
      <c r="P1756" s="4"/>
      <c r="Q1756" s="4"/>
    </row>
    <row r="1757">
      <c r="A1757" s="5">
        <v>1756.0</v>
      </c>
      <c r="B1757" s="5" t="s">
        <v>2203</v>
      </c>
      <c r="C1757" s="5" t="s">
        <v>12</v>
      </c>
      <c r="D1757" s="6">
        <f>IFERROR(__xludf.DUMMYFUNCTION("SPLIT(MID(C1757,2,LEN(C1757)-2), "","")"),469.0)</f>
        <v>469</v>
      </c>
      <c r="E1757" s="7"/>
      <c r="F1757" s="7"/>
      <c r="G1757" s="2" t="str">
        <f t="array" ref="G1757">IF(ISBLANK(D1757), "", INDEX(Categories!$B:$B,MATCH(D1757,Categories!$A:$A,0)))</f>
        <v>Automobile - Repairs &amp; Services</v>
      </c>
      <c r="H1757" s="7" t="str">
        <f t="array" ref="H1757">IF(ISBLANK(E1757), "", INDEX(Categories!$B:$B,MATCH(E1757,Categories!$A:$A,0)))</f>
        <v/>
      </c>
      <c r="I1757" s="7" t="str">
        <f t="array" ref="I1757">IF(ISBLANK(F1757), "", INDEX(Categories!$B:$B,MATCH(F1757,Categories!$A:$A,0)))</f>
        <v/>
      </c>
      <c r="J1757" s="4"/>
      <c r="K1757" s="4"/>
      <c r="L1757" s="4"/>
      <c r="M1757" s="4"/>
      <c r="N1757" s="4"/>
      <c r="O1757" s="4"/>
      <c r="P1757" s="4"/>
      <c r="Q1757" s="4"/>
    </row>
    <row r="1758">
      <c r="A1758" s="5">
        <v>1757.0</v>
      </c>
      <c r="B1758" s="5" t="s">
        <v>2204</v>
      </c>
      <c r="C1758" s="5" t="s">
        <v>232</v>
      </c>
      <c r="D1758" s="6">
        <f>IFERROR(__xludf.DUMMYFUNCTION("SPLIT(MID(C1758,2,LEN(C1758)-2), "","")"),956.0)</f>
        <v>956</v>
      </c>
      <c r="E1758" s="7"/>
      <c r="F1758" s="7"/>
      <c r="G1758" s="2" t="str">
        <f t="array" ref="G1758">IF(ISBLANK(D1758), "", INDEX(Categories!$B:$B,MATCH(D1758,Categories!$A:$A,0)))</f>
        <v>Painting Supplies</v>
      </c>
      <c r="H1758" s="7" t="str">
        <f t="array" ref="H1758">IF(ISBLANK(E1758), "", INDEX(Categories!$B:$B,MATCH(E1758,Categories!$A:$A,0)))</f>
        <v/>
      </c>
      <c r="I1758" s="7" t="str">
        <f t="array" ref="I1758">IF(ISBLANK(F1758), "", INDEX(Categories!$B:$B,MATCH(F1758,Categories!$A:$A,0)))</f>
        <v/>
      </c>
      <c r="J1758" s="4"/>
      <c r="K1758" s="4"/>
      <c r="L1758" s="4"/>
      <c r="M1758" s="4"/>
      <c r="N1758" s="4"/>
      <c r="O1758" s="4"/>
      <c r="P1758" s="4"/>
      <c r="Q1758" s="4"/>
    </row>
    <row r="1759">
      <c r="A1759" s="5">
        <v>1758.0</v>
      </c>
      <c r="B1759" s="5" t="s">
        <v>2205</v>
      </c>
      <c r="C1759" s="5" t="s">
        <v>346</v>
      </c>
      <c r="D1759" s="6">
        <f>IFERROR(__xludf.DUMMYFUNCTION("SPLIT(MID(C1759,2,LEN(C1759)-2), "","")"),610.0)</f>
        <v>610</v>
      </c>
      <c r="E1759" s="7"/>
      <c r="F1759" s="7"/>
      <c r="G1759" s="2" t="str">
        <f t="array" ref="G1759">IF(ISBLANK(D1759), "", INDEX(Categories!$B:$B,MATCH(D1759,Categories!$A:$A,0)))</f>
        <v>Supermarkets &amp; Super Stores</v>
      </c>
      <c r="H1759" s="7" t="str">
        <f t="array" ref="H1759">IF(ISBLANK(E1759), "", INDEX(Categories!$B:$B,MATCH(E1759,Categories!$A:$A,0)))</f>
        <v/>
      </c>
      <c r="I1759" s="7" t="str">
        <f t="array" ref="I1759">IF(ISBLANK(F1759), "", INDEX(Categories!$B:$B,MATCH(F1759,Categories!$A:$A,0)))</f>
        <v/>
      </c>
      <c r="J1759" s="4"/>
      <c r="K1759" s="4"/>
      <c r="L1759" s="4"/>
      <c r="M1759" s="4"/>
      <c r="N1759" s="4"/>
      <c r="O1759" s="4"/>
      <c r="P1759" s="4"/>
      <c r="Q1759" s="4"/>
    </row>
    <row r="1760">
      <c r="A1760" s="5">
        <v>1759.0</v>
      </c>
      <c r="B1760" s="5" t="s">
        <v>2206</v>
      </c>
      <c r="C1760" s="5" t="s">
        <v>87</v>
      </c>
      <c r="D1760" s="6">
        <f>IFERROR(__xludf.DUMMYFUNCTION("SPLIT(MID(C1760,2,LEN(C1760)-2), "","")"),168.0)</f>
        <v>168</v>
      </c>
      <c r="E1760" s="7"/>
      <c r="F1760" s="7"/>
      <c r="G1760" s="2" t="str">
        <f t="array" ref="G1760">IF(ISBLANK(D1760), "", INDEX(Categories!$B:$B,MATCH(D1760,Categories!$A:$A,0)))</f>
        <v>Hotels &amp; Motels</v>
      </c>
      <c r="H1760" s="7" t="str">
        <f t="array" ref="H1760">IF(ISBLANK(E1760), "", INDEX(Categories!$B:$B,MATCH(E1760,Categories!$A:$A,0)))</f>
        <v/>
      </c>
      <c r="I1760" s="7" t="str">
        <f t="array" ref="I1760">IF(ISBLANK(F1760), "", INDEX(Categories!$B:$B,MATCH(F1760,Categories!$A:$A,0)))</f>
        <v/>
      </c>
      <c r="J1760" s="4"/>
      <c r="K1760" s="4"/>
      <c r="L1760" s="4"/>
      <c r="M1760" s="4"/>
      <c r="N1760" s="4"/>
      <c r="O1760" s="4"/>
      <c r="P1760" s="4"/>
      <c r="Q1760" s="4"/>
    </row>
    <row r="1761">
      <c r="A1761" s="5">
        <v>1760.0</v>
      </c>
      <c r="B1761" s="5" t="s">
        <v>2207</v>
      </c>
      <c r="C1761" s="5" t="s">
        <v>87</v>
      </c>
      <c r="D1761" s="6">
        <f>IFERROR(__xludf.DUMMYFUNCTION("SPLIT(MID(C1761,2,LEN(C1761)-2), "","")"),168.0)</f>
        <v>168</v>
      </c>
      <c r="E1761" s="7"/>
      <c r="F1761" s="7"/>
      <c r="G1761" s="2" t="str">
        <f t="array" ref="G1761">IF(ISBLANK(D1761), "", INDEX(Categories!$B:$B,MATCH(D1761,Categories!$A:$A,0)))</f>
        <v>Hotels &amp; Motels</v>
      </c>
      <c r="H1761" s="7" t="str">
        <f t="array" ref="H1761">IF(ISBLANK(E1761), "", INDEX(Categories!$B:$B,MATCH(E1761,Categories!$A:$A,0)))</f>
        <v/>
      </c>
      <c r="I1761" s="7" t="str">
        <f t="array" ref="I1761">IF(ISBLANK(F1761), "", INDEX(Categories!$B:$B,MATCH(F1761,Categories!$A:$A,0)))</f>
        <v/>
      </c>
      <c r="J1761" s="4"/>
      <c r="K1761" s="4"/>
      <c r="L1761" s="4"/>
      <c r="M1761" s="4"/>
      <c r="N1761" s="4"/>
      <c r="O1761" s="4"/>
      <c r="P1761" s="4"/>
      <c r="Q1761" s="4"/>
    </row>
    <row r="1762">
      <c r="A1762" s="5">
        <v>1761.0</v>
      </c>
      <c r="B1762" s="5" t="s">
        <v>2208</v>
      </c>
      <c r="C1762" s="5" t="s">
        <v>2209</v>
      </c>
      <c r="D1762" s="6">
        <f>IFERROR(__xludf.DUMMYFUNCTION("SPLIT(MID(C1762,2,LEN(C1762)-2), "","")"),2199.0)</f>
        <v>2199</v>
      </c>
      <c r="E1762" s="7"/>
      <c r="F1762" s="7"/>
      <c r="G1762" s="2" t="str">
        <f t="array" ref="G1762">IF(ISBLANK(D1762), "", INDEX(Categories!$B:$B,MATCH(D1762,Categories!$A:$A,0)))</f>
        <v>Material Handling Equipment</v>
      </c>
      <c r="H1762" s="7" t="str">
        <f t="array" ref="H1762">IF(ISBLANK(E1762), "", INDEX(Categories!$B:$B,MATCH(E1762,Categories!$A:$A,0)))</f>
        <v/>
      </c>
      <c r="I1762" s="7" t="str">
        <f t="array" ref="I1762">IF(ISBLANK(F1762), "", INDEX(Categories!$B:$B,MATCH(F1762,Categories!$A:$A,0)))</f>
        <v/>
      </c>
      <c r="J1762" s="4"/>
      <c r="K1762" s="4"/>
      <c r="L1762" s="4"/>
      <c r="M1762" s="4"/>
      <c r="N1762" s="4"/>
      <c r="O1762" s="4"/>
      <c r="P1762" s="4"/>
      <c r="Q1762" s="4"/>
    </row>
    <row r="1763">
      <c r="A1763" s="5">
        <v>1762.0</v>
      </c>
      <c r="B1763" s="5" t="s">
        <v>2210</v>
      </c>
      <c r="C1763" s="5" t="s">
        <v>512</v>
      </c>
      <c r="D1763" s="6">
        <f>IFERROR(__xludf.DUMMYFUNCTION("SPLIT(MID(C1763,2,LEN(C1763)-2), "","")"),1030.0)</f>
        <v>1030</v>
      </c>
      <c r="E1763" s="7"/>
      <c r="F1763" s="7"/>
      <c r="G1763" s="2" t="str">
        <f t="array" ref="G1763">IF(ISBLANK(D1763), "", INDEX(Categories!$B:$B,MATCH(D1763,Categories!$A:$A,0)))</f>
        <v>Carpet &amp; Rug Dealers New</v>
      </c>
      <c r="H1763" s="7" t="str">
        <f t="array" ref="H1763">IF(ISBLANK(E1763), "", INDEX(Categories!$B:$B,MATCH(E1763,Categories!$A:$A,0)))</f>
        <v/>
      </c>
      <c r="I1763" s="7" t="str">
        <f t="array" ref="I1763">IF(ISBLANK(F1763), "", INDEX(Categories!$B:$B,MATCH(F1763,Categories!$A:$A,0)))</f>
        <v/>
      </c>
      <c r="J1763" s="4"/>
      <c r="K1763" s="4"/>
      <c r="L1763" s="4"/>
      <c r="M1763" s="4"/>
      <c r="N1763" s="4"/>
      <c r="O1763" s="4"/>
      <c r="P1763" s="4"/>
      <c r="Q1763" s="4"/>
    </row>
    <row r="1764">
      <c r="A1764" s="5">
        <v>1763.0</v>
      </c>
      <c r="B1764" s="5" t="s">
        <v>2211</v>
      </c>
      <c r="C1764" s="5" t="s">
        <v>12</v>
      </c>
      <c r="D1764" s="6">
        <f>IFERROR(__xludf.DUMMYFUNCTION("SPLIT(MID(C1764,2,LEN(C1764)-2), "","")"),469.0)</f>
        <v>469</v>
      </c>
      <c r="E1764" s="7"/>
      <c r="F1764" s="7"/>
      <c r="G1764" s="2" t="str">
        <f t="array" ref="G1764">IF(ISBLANK(D1764), "", INDEX(Categories!$B:$B,MATCH(D1764,Categories!$A:$A,0)))</f>
        <v>Automobile - Repairs &amp; Services</v>
      </c>
      <c r="H1764" s="7" t="str">
        <f t="array" ref="H1764">IF(ISBLANK(E1764), "", INDEX(Categories!$B:$B,MATCH(E1764,Categories!$A:$A,0)))</f>
        <v/>
      </c>
      <c r="I1764" s="7" t="str">
        <f t="array" ref="I1764">IF(ISBLANK(F1764), "", INDEX(Categories!$B:$B,MATCH(F1764,Categories!$A:$A,0)))</f>
        <v/>
      </c>
      <c r="J1764" s="4"/>
      <c r="K1764" s="4"/>
      <c r="L1764" s="4"/>
      <c r="M1764" s="4"/>
      <c r="N1764" s="4"/>
      <c r="O1764" s="4"/>
      <c r="P1764" s="4"/>
      <c r="Q1764" s="4"/>
    </row>
    <row r="1765">
      <c r="A1765" s="5">
        <v>1764.0</v>
      </c>
      <c r="B1765" s="5" t="s">
        <v>2212</v>
      </c>
      <c r="C1765" s="5" t="s">
        <v>87</v>
      </c>
      <c r="D1765" s="6">
        <f>IFERROR(__xludf.DUMMYFUNCTION("SPLIT(MID(C1765,2,LEN(C1765)-2), "","")"),168.0)</f>
        <v>168</v>
      </c>
      <c r="E1765" s="7"/>
      <c r="F1765" s="7"/>
      <c r="G1765" s="2" t="str">
        <f t="array" ref="G1765">IF(ISBLANK(D1765), "", INDEX(Categories!$B:$B,MATCH(D1765,Categories!$A:$A,0)))</f>
        <v>Hotels &amp; Motels</v>
      </c>
      <c r="H1765" s="7" t="str">
        <f t="array" ref="H1765">IF(ISBLANK(E1765), "", INDEX(Categories!$B:$B,MATCH(E1765,Categories!$A:$A,0)))</f>
        <v/>
      </c>
      <c r="I1765" s="7" t="str">
        <f t="array" ref="I1765">IF(ISBLANK(F1765), "", INDEX(Categories!$B:$B,MATCH(F1765,Categories!$A:$A,0)))</f>
        <v/>
      </c>
      <c r="J1765" s="4"/>
      <c r="K1765" s="4"/>
      <c r="L1765" s="4"/>
      <c r="M1765" s="4"/>
      <c r="N1765" s="4"/>
      <c r="O1765" s="4"/>
      <c r="P1765" s="4"/>
      <c r="Q1765" s="4"/>
    </row>
    <row r="1766">
      <c r="A1766" s="5">
        <v>1765.0</v>
      </c>
      <c r="B1766" s="5" t="s">
        <v>2213</v>
      </c>
      <c r="C1766" s="5" t="s">
        <v>1759</v>
      </c>
      <c r="D1766" s="6">
        <f>IFERROR(__xludf.DUMMYFUNCTION("SPLIT(MID(C1766,2,LEN(C1766)-2), "","")"),2697.0)</f>
        <v>2697</v>
      </c>
      <c r="E1766" s="7"/>
      <c r="F1766" s="7"/>
      <c r="G1766" s="2" t="str">
        <f t="array" ref="G1766">IF(ISBLANK(D1766), "", INDEX(Categories!$B:$B,MATCH(D1766,Categories!$A:$A,0)))</f>
        <v>Closet Designing &amp; Remodeling</v>
      </c>
      <c r="H1766" s="7" t="str">
        <f t="array" ref="H1766">IF(ISBLANK(E1766), "", INDEX(Categories!$B:$B,MATCH(E1766,Categories!$A:$A,0)))</f>
        <v/>
      </c>
      <c r="I1766" s="7" t="str">
        <f t="array" ref="I1766">IF(ISBLANK(F1766), "", INDEX(Categories!$B:$B,MATCH(F1766,Categories!$A:$A,0)))</f>
        <v/>
      </c>
      <c r="J1766" s="4"/>
      <c r="K1766" s="4"/>
      <c r="L1766" s="4"/>
      <c r="M1766" s="4"/>
      <c r="N1766" s="4"/>
      <c r="O1766" s="4"/>
      <c r="P1766" s="4"/>
      <c r="Q1766" s="4"/>
    </row>
    <row r="1767">
      <c r="A1767" s="5">
        <v>1766.0</v>
      </c>
      <c r="B1767" s="5" t="s">
        <v>2214</v>
      </c>
      <c r="C1767" s="5" t="s">
        <v>2215</v>
      </c>
      <c r="D1767" s="6">
        <f>IFERROR(__xludf.DUMMYFUNCTION("SPLIT(MID(C1767,2,LEN(C1767)-2), "","")"),1974.0)</f>
        <v>1974</v>
      </c>
      <c r="E1767" s="7"/>
      <c r="F1767" s="7"/>
      <c r="G1767" s="2" t="str">
        <f t="array" ref="G1767">IF(ISBLANK(D1767), "", INDEX(Categories!$B:$B,MATCH(D1767,Categories!$A:$A,0)))</f>
        <v>Coin &amp; Bill Counting Sorting &amp; Wrapping Machines</v>
      </c>
      <c r="H1767" s="7" t="str">
        <f t="array" ref="H1767">IF(ISBLANK(E1767), "", INDEX(Categories!$B:$B,MATCH(E1767,Categories!$A:$A,0)))</f>
        <v/>
      </c>
      <c r="I1767" s="7" t="str">
        <f t="array" ref="I1767">IF(ISBLANK(F1767), "", INDEX(Categories!$B:$B,MATCH(F1767,Categories!$A:$A,0)))</f>
        <v/>
      </c>
      <c r="J1767" s="4"/>
      <c r="K1767" s="4"/>
      <c r="L1767" s="4"/>
      <c r="M1767" s="4"/>
      <c r="N1767" s="4"/>
      <c r="O1767" s="4"/>
      <c r="P1767" s="4"/>
      <c r="Q1767" s="4"/>
    </row>
    <row r="1768">
      <c r="A1768" s="5">
        <v>1767.0</v>
      </c>
      <c r="B1768" s="5" t="s">
        <v>2216</v>
      </c>
      <c r="C1768" s="5" t="s">
        <v>12</v>
      </c>
      <c r="D1768" s="6">
        <f>IFERROR(__xludf.DUMMYFUNCTION("SPLIT(MID(C1768,2,LEN(C1768)-2), "","")"),469.0)</f>
        <v>469</v>
      </c>
      <c r="E1768" s="7"/>
      <c r="F1768" s="7"/>
      <c r="G1768" s="2" t="str">
        <f t="array" ref="G1768">IF(ISBLANK(D1768), "", INDEX(Categories!$B:$B,MATCH(D1768,Categories!$A:$A,0)))</f>
        <v>Automobile - Repairs &amp; Services</v>
      </c>
      <c r="H1768" s="7" t="str">
        <f t="array" ref="H1768">IF(ISBLANK(E1768), "", INDEX(Categories!$B:$B,MATCH(E1768,Categories!$A:$A,0)))</f>
        <v/>
      </c>
      <c r="I1768" s="7" t="str">
        <f t="array" ref="I1768">IF(ISBLANK(F1768), "", INDEX(Categories!$B:$B,MATCH(F1768,Categories!$A:$A,0)))</f>
        <v/>
      </c>
      <c r="J1768" s="4"/>
      <c r="K1768" s="4"/>
      <c r="L1768" s="4"/>
      <c r="M1768" s="4"/>
      <c r="N1768" s="4"/>
      <c r="O1768" s="4"/>
      <c r="P1768" s="4"/>
      <c r="Q1768" s="4"/>
    </row>
    <row r="1769">
      <c r="A1769" s="5">
        <v>1768.0</v>
      </c>
      <c r="B1769" s="5" t="s">
        <v>2217</v>
      </c>
      <c r="C1769" s="5" t="s">
        <v>901</v>
      </c>
      <c r="D1769" s="6">
        <f>IFERROR(__xludf.DUMMYFUNCTION("SPLIT(MID(C1769,2,LEN(C1769)-2), "","")"),971.0)</f>
        <v>971</v>
      </c>
      <c r="E1769" s="7"/>
      <c r="F1769" s="7"/>
      <c r="G1769" s="2" t="str">
        <f t="array" ref="G1769">IF(ISBLANK(D1769), "", INDEX(Categories!$B:$B,MATCH(D1769,Categories!$A:$A,0)))</f>
        <v>Telecommunications Equipment &amp; Services</v>
      </c>
      <c r="H1769" s="7" t="str">
        <f t="array" ref="H1769">IF(ISBLANK(E1769), "", INDEX(Categories!$B:$B,MATCH(E1769,Categories!$A:$A,0)))</f>
        <v/>
      </c>
      <c r="I1769" s="7" t="str">
        <f t="array" ref="I1769">IF(ISBLANK(F1769), "", INDEX(Categories!$B:$B,MATCH(F1769,Categories!$A:$A,0)))</f>
        <v/>
      </c>
      <c r="J1769" s="4"/>
      <c r="K1769" s="4"/>
      <c r="L1769" s="4"/>
      <c r="M1769" s="4"/>
      <c r="N1769" s="4"/>
      <c r="O1769" s="4"/>
      <c r="P1769" s="4"/>
      <c r="Q1769" s="4"/>
    </row>
    <row r="1770">
      <c r="A1770" s="5">
        <v>1769.0</v>
      </c>
      <c r="B1770" s="5" t="s">
        <v>2218</v>
      </c>
      <c r="C1770" s="5" t="s">
        <v>87</v>
      </c>
      <c r="D1770" s="6">
        <f>IFERROR(__xludf.DUMMYFUNCTION("SPLIT(MID(C1770,2,LEN(C1770)-2), "","")"),168.0)</f>
        <v>168</v>
      </c>
      <c r="E1770" s="7"/>
      <c r="F1770" s="7"/>
      <c r="G1770" s="2" t="str">
        <f t="array" ref="G1770">IF(ISBLANK(D1770), "", INDEX(Categories!$B:$B,MATCH(D1770,Categories!$A:$A,0)))</f>
        <v>Hotels &amp; Motels</v>
      </c>
      <c r="H1770" s="7" t="str">
        <f t="array" ref="H1770">IF(ISBLANK(E1770), "", INDEX(Categories!$B:$B,MATCH(E1770,Categories!$A:$A,0)))</f>
        <v/>
      </c>
      <c r="I1770" s="7" t="str">
        <f t="array" ref="I1770">IF(ISBLANK(F1770), "", INDEX(Categories!$B:$B,MATCH(F1770,Categories!$A:$A,0)))</f>
        <v/>
      </c>
      <c r="J1770" s="4"/>
      <c r="K1770" s="4"/>
      <c r="L1770" s="4"/>
      <c r="M1770" s="4"/>
      <c r="N1770" s="4"/>
      <c r="O1770" s="4"/>
      <c r="P1770" s="4"/>
      <c r="Q1770" s="4"/>
    </row>
    <row r="1771">
      <c r="A1771" s="5">
        <v>1770.0</v>
      </c>
      <c r="B1771" s="5" t="s">
        <v>2219</v>
      </c>
      <c r="C1771" s="5" t="s">
        <v>1282</v>
      </c>
      <c r="D1771" s="6">
        <f>IFERROR(__xludf.DUMMYFUNCTION("SPLIT(MID(C1771,2,LEN(C1771)-2), "","")"),718.0)</f>
        <v>718</v>
      </c>
      <c r="E1771" s="7"/>
      <c r="F1771" s="7"/>
      <c r="G1771" s="2" t="str">
        <f t="array" ref="G1771">IF(ISBLANK(D1771), "", INDEX(Categories!$B:$B,MATCH(D1771,Categories!$A:$A,0)))</f>
        <v>Computer &amp; Computer Equipment Service &amp; Repair</v>
      </c>
      <c r="H1771" s="7" t="str">
        <f t="array" ref="H1771">IF(ISBLANK(E1771), "", INDEX(Categories!$B:$B,MATCH(E1771,Categories!$A:$A,0)))</f>
        <v/>
      </c>
      <c r="I1771" s="7" t="str">
        <f t="array" ref="I1771">IF(ISBLANK(F1771), "", INDEX(Categories!$B:$B,MATCH(F1771,Categories!$A:$A,0)))</f>
        <v/>
      </c>
      <c r="J1771" s="4"/>
      <c r="K1771" s="4"/>
      <c r="L1771" s="4"/>
      <c r="M1771" s="4"/>
      <c r="N1771" s="4"/>
      <c r="O1771" s="4"/>
      <c r="P1771" s="4"/>
      <c r="Q1771" s="4"/>
    </row>
    <row r="1772">
      <c r="A1772" s="5">
        <v>1771.0</v>
      </c>
      <c r="B1772" s="5" t="s">
        <v>2220</v>
      </c>
      <c r="C1772" s="5" t="s">
        <v>2221</v>
      </c>
      <c r="D1772" s="6">
        <f>IFERROR(__xludf.DUMMYFUNCTION("SPLIT(MID(C1772,2,LEN(C1772)-2), "","")"),366.0)</f>
        <v>366</v>
      </c>
      <c r="E1772" s="7"/>
      <c r="F1772" s="7"/>
      <c r="G1772" s="2" t="str">
        <f t="array" ref="G1772">IF(ISBLANK(D1772), "", INDEX(Categories!$B:$B,MATCH(D1772,Categories!$A:$A,0)))</f>
        <v>Schools - Colleges &amp; Universities</v>
      </c>
      <c r="H1772" s="7" t="str">
        <f t="array" ref="H1772">IF(ISBLANK(E1772), "", INDEX(Categories!$B:$B,MATCH(E1772,Categories!$A:$A,0)))</f>
        <v/>
      </c>
      <c r="I1772" s="7" t="str">
        <f t="array" ref="I1772">IF(ISBLANK(F1772), "", INDEX(Categories!$B:$B,MATCH(F1772,Categories!$A:$A,0)))</f>
        <v/>
      </c>
      <c r="J1772" s="4"/>
      <c r="K1772" s="4"/>
      <c r="L1772" s="4"/>
      <c r="M1772" s="4"/>
      <c r="N1772" s="4"/>
      <c r="O1772" s="4"/>
      <c r="P1772" s="4"/>
      <c r="Q1772" s="4"/>
    </row>
    <row r="1773">
      <c r="A1773" s="5">
        <v>1772.0</v>
      </c>
      <c r="B1773" s="5" t="s">
        <v>2222</v>
      </c>
      <c r="C1773" s="5" t="s">
        <v>1344</v>
      </c>
      <c r="D1773" s="6">
        <f>IFERROR(__xludf.DUMMYFUNCTION("SPLIT(MID(C1773,2,LEN(C1773)-2), "","")"),2674.0)</f>
        <v>2674</v>
      </c>
      <c r="E1773" s="7"/>
      <c r="F1773" s="7"/>
      <c r="G1773" s="2" t="str">
        <f t="array" ref="G1773">IF(ISBLANK(D1773), "", INDEX(Categories!$B:$B,MATCH(D1773,Categories!$A:$A,0)))</f>
        <v>Home Improvement &amp; Remodeling Services</v>
      </c>
      <c r="H1773" s="7" t="str">
        <f t="array" ref="H1773">IF(ISBLANK(E1773), "", INDEX(Categories!$B:$B,MATCH(E1773,Categories!$A:$A,0)))</f>
        <v/>
      </c>
      <c r="I1773" s="7" t="str">
        <f t="array" ref="I1773">IF(ISBLANK(F1773), "", INDEX(Categories!$B:$B,MATCH(F1773,Categories!$A:$A,0)))</f>
        <v/>
      </c>
      <c r="J1773" s="4"/>
      <c r="K1773" s="4"/>
      <c r="L1773" s="4"/>
      <c r="M1773" s="4"/>
      <c r="N1773" s="4"/>
      <c r="O1773" s="4"/>
      <c r="P1773" s="4"/>
      <c r="Q1773" s="4"/>
    </row>
    <row r="1774">
      <c r="A1774" s="5">
        <v>1773.0</v>
      </c>
      <c r="B1774" s="5" t="s">
        <v>2223</v>
      </c>
      <c r="C1774" s="5" t="s">
        <v>933</v>
      </c>
      <c r="D1774" s="6">
        <f>IFERROR(__xludf.DUMMYFUNCTION("SPLIT(MID(C1774,2,LEN(C1774)-2), "","")"),1432.0)</f>
        <v>1432</v>
      </c>
      <c r="E1774" s="7"/>
      <c r="F1774" s="7"/>
      <c r="G1774" s="2" t="str">
        <f t="array" ref="G1774">IF(ISBLANK(D1774), "", INDEX(Categories!$B:$B,MATCH(D1774,Categories!$A:$A,0)))</f>
        <v>Gas Natural</v>
      </c>
      <c r="H1774" s="7" t="str">
        <f t="array" ref="H1774">IF(ISBLANK(E1774), "", INDEX(Categories!$B:$B,MATCH(E1774,Categories!$A:$A,0)))</f>
        <v/>
      </c>
      <c r="I1774" s="7" t="str">
        <f t="array" ref="I1774">IF(ISBLANK(F1774), "", INDEX(Categories!$B:$B,MATCH(F1774,Categories!$A:$A,0)))</f>
        <v/>
      </c>
      <c r="J1774" s="4"/>
      <c r="K1774" s="4"/>
      <c r="L1774" s="4"/>
      <c r="M1774" s="4"/>
      <c r="N1774" s="4"/>
      <c r="O1774" s="4"/>
      <c r="P1774" s="4"/>
      <c r="Q1774" s="4"/>
    </row>
    <row r="1775">
      <c r="A1775" s="5">
        <v>1774.0</v>
      </c>
      <c r="B1775" s="5" t="s">
        <v>2224</v>
      </c>
      <c r="C1775" s="5" t="s">
        <v>1369</v>
      </c>
      <c r="D1775" s="6">
        <f>IFERROR(__xludf.DUMMYFUNCTION("SPLIT(MID(C1775,2,LEN(C1775)-2), "","")"),1747.0)</f>
        <v>1747</v>
      </c>
      <c r="E1775" s="7"/>
      <c r="F1775" s="7"/>
      <c r="G1775" s="2" t="str">
        <f t="array" ref="G1775">IF(ISBLANK(D1775), "", INDEX(Categories!$B:$B,MATCH(D1775,Categories!$A:$A,0)))</f>
        <v>Recreational Vehicles Renting &amp; Leasing</v>
      </c>
      <c r="H1775" s="7" t="str">
        <f t="array" ref="H1775">IF(ISBLANK(E1775), "", INDEX(Categories!$B:$B,MATCH(E1775,Categories!$A:$A,0)))</f>
        <v/>
      </c>
      <c r="I1775" s="7" t="str">
        <f t="array" ref="I1775">IF(ISBLANK(F1775), "", INDEX(Categories!$B:$B,MATCH(F1775,Categories!$A:$A,0)))</f>
        <v/>
      </c>
      <c r="J1775" s="4"/>
      <c r="K1775" s="4"/>
      <c r="L1775" s="4"/>
      <c r="M1775" s="4"/>
      <c r="N1775" s="4"/>
      <c r="O1775" s="4"/>
      <c r="P1775" s="4"/>
      <c r="Q1775" s="4"/>
    </row>
    <row r="1776">
      <c r="A1776" s="5">
        <v>1775.0</v>
      </c>
      <c r="B1776" s="5" t="s">
        <v>2225</v>
      </c>
      <c r="C1776" s="5" t="s">
        <v>382</v>
      </c>
      <c r="D1776" s="6">
        <f>IFERROR(__xludf.DUMMYFUNCTION("SPLIT(MID(C1776,2,LEN(C1776)-2), "","")"),1598.0)</f>
        <v>1598</v>
      </c>
      <c r="E1776" s="7"/>
      <c r="F1776" s="7"/>
      <c r="G1776" s="2" t="str">
        <f t="array" ref="G1776">IF(ISBLANK(D1776), "", INDEX(Categories!$B:$B,MATCH(D1776,Categories!$A:$A,0)))</f>
        <v>Adult Care Facilities</v>
      </c>
      <c r="H1776" s="7" t="str">
        <f t="array" ref="H1776">IF(ISBLANK(E1776), "", INDEX(Categories!$B:$B,MATCH(E1776,Categories!$A:$A,0)))</f>
        <v/>
      </c>
      <c r="I1776" s="7" t="str">
        <f t="array" ref="I1776">IF(ISBLANK(F1776), "", INDEX(Categories!$B:$B,MATCH(F1776,Categories!$A:$A,0)))</f>
        <v/>
      </c>
      <c r="J1776" s="4"/>
      <c r="K1776" s="4"/>
      <c r="L1776" s="4"/>
      <c r="M1776" s="4"/>
      <c r="N1776" s="4"/>
      <c r="O1776" s="4"/>
      <c r="P1776" s="4"/>
      <c r="Q1776" s="4"/>
    </row>
    <row r="1777">
      <c r="A1777" s="5">
        <v>1776.0</v>
      </c>
      <c r="B1777" s="5" t="s">
        <v>2226</v>
      </c>
      <c r="C1777" s="5" t="s">
        <v>2227</v>
      </c>
      <c r="D1777" s="6">
        <f>IFERROR(__xludf.DUMMYFUNCTION("SPLIT(MID(C1777,2,LEN(C1777)-2), "","")"),2036.0)</f>
        <v>2036</v>
      </c>
      <c r="E1777" s="7"/>
      <c r="F1777" s="7"/>
      <c r="G1777" s="2" t="str">
        <f t="array" ref="G1777">IF(ISBLANK(D1777), "", INDEX(Categories!$B:$B,MATCH(D1777,Categories!$A:$A,0)))</f>
        <v>Hospice</v>
      </c>
      <c r="H1777" s="7" t="str">
        <f t="array" ref="H1777">IF(ISBLANK(E1777), "", INDEX(Categories!$B:$B,MATCH(E1777,Categories!$A:$A,0)))</f>
        <v/>
      </c>
      <c r="I1777" s="7" t="str">
        <f t="array" ref="I1777">IF(ISBLANK(F1777), "", INDEX(Categories!$B:$B,MATCH(F1777,Categories!$A:$A,0)))</f>
        <v/>
      </c>
      <c r="J1777" s="4"/>
      <c r="K1777" s="4"/>
      <c r="L1777" s="4"/>
      <c r="M1777" s="4"/>
      <c r="N1777" s="4"/>
      <c r="O1777" s="4"/>
      <c r="P1777" s="4"/>
      <c r="Q1777" s="4"/>
    </row>
    <row r="1778">
      <c r="A1778" s="5">
        <v>1777.0</v>
      </c>
      <c r="B1778" s="5" t="s">
        <v>2228</v>
      </c>
      <c r="C1778" s="5" t="s">
        <v>69</v>
      </c>
      <c r="D1778" s="6">
        <f>IFERROR(__xludf.DUMMYFUNCTION("SPLIT(MID(C1778,2,LEN(C1778)-2), "","")"),293.0)</f>
        <v>293</v>
      </c>
      <c r="E1778" s="7"/>
      <c r="F1778" s="7"/>
      <c r="G1778" s="2" t="str">
        <f t="array" ref="G1778">IF(ISBLANK(D1778), "", INDEX(Categories!$B:$B,MATCH(D1778,Categories!$A:$A,0)))</f>
        <v>Banks Commercial</v>
      </c>
      <c r="H1778" s="7" t="str">
        <f t="array" ref="H1778">IF(ISBLANK(E1778), "", INDEX(Categories!$B:$B,MATCH(E1778,Categories!$A:$A,0)))</f>
        <v/>
      </c>
      <c r="I1778" s="7" t="str">
        <f t="array" ref="I1778">IF(ISBLANK(F1778), "", INDEX(Categories!$B:$B,MATCH(F1778,Categories!$A:$A,0)))</f>
        <v/>
      </c>
      <c r="J1778" s="4"/>
      <c r="K1778" s="4"/>
      <c r="L1778" s="4"/>
      <c r="M1778" s="4"/>
      <c r="N1778" s="4"/>
      <c r="O1778" s="4"/>
      <c r="P1778" s="4"/>
      <c r="Q1778" s="4"/>
    </row>
    <row r="1779">
      <c r="A1779" s="5">
        <v>1778.0</v>
      </c>
      <c r="B1779" s="5" t="s">
        <v>2229</v>
      </c>
      <c r="C1779" s="5" t="s">
        <v>309</v>
      </c>
      <c r="D1779" s="6">
        <f>IFERROR(__xludf.DUMMYFUNCTION("SPLIT(MID(C1779,2,LEN(C1779)-2), "","")"),458.0)</f>
        <v>458</v>
      </c>
      <c r="E1779" s="7"/>
      <c r="F1779" s="7"/>
      <c r="G1779" s="2" t="str">
        <f t="array" ref="G1779">IF(ISBLANK(D1779), "", INDEX(Categories!$B:$B,MATCH(D1779,Categories!$A:$A,0)))</f>
        <v>Real Estate - Brokers &amp; Agents</v>
      </c>
      <c r="H1779" s="7" t="str">
        <f t="array" ref="H1779">IF(ISBLANK(E1779), "", INDEX(Categories!$B:$B,MATCH(E1779,Categories!$A:$A,0)))</f>
        <v/>
      </c>
      <c r="I1779" s="7" t="str">
        <f t="array" ref="I1779">IF(ISBLANK(F1779), "", INDEX(Categories!$B:$B,MATCH(F1779,Categories!$A:$A,0)))</f>
        <v/>
      </c>
      <c r="J1779" s="4"/>
      <c r="K1779" s="4"/>
      <c r="L1779" s="4"/>
      <c r="M1779" s="4"/>
      <c r="N1779" s="4"/>
      <c r="O1779" s="4"/>
      <c r="P1779" s="4"/>
      <c r="Q1779" s="4"/>
    </row>
    <row r="1780">
      <c r="A1780" s="5">
        <v>1779.0</v>
      </c>
      <c r="B1780" s="5" t="s">
        <v>2230</v>
      </c>
      <c r="C1780" s="5" t="s">
        <v>2231</v>
      </c>
      <c r="D1780" s="6">
        <f>IFERROR(__xludf.DUMMYFUNCTION("SPLIT(MID(C1780,2,LEN(C1780)-2), "","")"),1036.0)</f>
        <v>1036</v>
      </c>
      <c r="E1780" s="7"/>
      <c r="F1780" s="7"/>
      <c r="G1780" s="2" t="str">
        <f t="array" ref="G1780">IF(ISBLANK(D1780), "", INDEX(Categories!$B:$B,MATCH(D1780,Categories!$A:$A,0)))</f>
        <v>Floor Materials Wholesale &amp; Manufacturers</v>
      </c>
      <c r="H1780" s="7" t="str">
        <f t="array" ref="H1780">IF(ISBLANK(E1780), "", INDEX(Categories!$B:$B,MATCH(E1780,Categories!$A:$A,0)))</f>
        <v/>
      </c>
      <c r="I1780" s="7" t="str">
        <f t="array" ref="I1780">IF(ISBLANK(F1780), "", INDEX(Categories!$B:$B,MATCH(F1780,Categories!$A:$A,0)))</f>
        <v/>
      </c>
      <c r="J1780" s="4"/>
      <c r="K1780" s="4"/>
      <c r="L1780" s="4"/>
      <c r="M1780" s="4"/>
      <c r="N1780" s="4"/>
      <c r="O1780" s="4"/>
      <c r="P1780" s="4"/>
      <c r="Q1780" s="4"/>
    </row>
    <row r="1781">
      <c r="A1781" s="5">
        <v>1780.0</v>
      </c>
      <c r="B1781" s="5" t="s">
        <v>2232</v>
      </c>
      <c r="C1781" s="5" t="s">
        <v>266</v>
      </c>
      <c r="D1781" s="6">
        <f>IFERROR(__xludf.DUMMYFUNCTION("SPLIT(MID(C1781,2,LEN(C1781)-2), "","")"),429.0)</f>
        <v>429</v>
      </c>
      <c r="E1781" s="7"/>
      <c r="F1781" s="7"/>
      <c r="G1781" s="2" t="str">
        <f t="array" ref="G1781">IF(ISBLANK(D1781), "", INDEX(Categories!$B:$B,MATCH(D1781,Categories!$A:$A,0)))</f>
        <v>Bookstores</v>
      </c>
      <c r="H1781" s="7" t="str">
        <f t="array" ref="H1781">IF(ISBLANK(E1781), "", INDEX(Categories!$B:$B,MATCH(E1781,Categories!$A:$A,0)))</f>
        <v/>
      </c>
      <c r="I1781" s="7" t="str">
        <f t="array" ref="I1781">IF(ISBLANK(F1781), "", INDEX(Categories!$B:$B,MATCH(F1781,Categories!$A:$A,0)))</f>
        <v/>
      </c>
      <c r="J1781" s="4"/>
      <c r="K1781" s="4"/>
      <c r="L1781" s="4"/>
      <c r="M1781" s="4"/>
      <c r="N1781" s="4"/>
      <c r="O1781" s="4"/>
      <c r="P1781" s="4"/>
      <c r="Q1781" s="4"/>
    </row>
    <row r="1782">
      <c r="A1782" s="5">
        <v>1781.0</v>
      </c>
      <c r="B1782" s="5" t="s">
        <v>2233</v>
      </c>
      <c r="C1782" s="5" t="s">
        <v>1039</v>
      </c>
      <c r="D1782" s="6">
        <f>IFERROR(__xludf.DUMMYFUNCTION("SPLIT(MID(C1782,2,LEN(C1782)-2), "","")"),1252.0)</f>
        <v>1252</v>
      </c>
      <c r="E1782" s="7"/>
      <c r="F1782" s="7"/>
      <c r="G1782" s="2" t="str">
        <f t="array" ref="G1782">IF(ISBLANK(D1782), "", INDEX(Categories!$B:$B,MATCH(D1782,Categories!$A:$A,0)))</f>
        <v>Hats</v>
      </c>
      <c r="H1782" s="7" t="str">
        <f t="array" ref="H1782">IF(ISBLANK(E1782), "", INDEX(Categories!$B:$B,MATCH(E1782,Categories!$A:$A,0)))</f>
        <v/>
      </c>
      <c r="I1782" s="7" t="str">
        <f t="array" ref="I1782">IF(ISBLANK(F1782), "", INDEX(Categories!$B:$B,MATCH(F1782,Categories!$A:$A,0)))</f>
        <v/>
      </c>
      <c r="J1782" s="4"/>
      <c r="K1782" s="4"/>
      <c r="L1782" s="4"/>
      <c r="M1782" s="4"/>
      <c r="N1782" s="4"/>
      <c r="O1782" s="4"/>
      <c r="P1782" s="4"/>
      <c r="Q1782" s="4"/>
    </row>
    <row r="1783">
      <c r="A1783" s="5">
        <v>1782.0</v>
      </c>
      <c r="B1783" s="5" t="s">
        <v>2234</v>
      </c>
      <c r="C1783" s="5" t="s">
        <v>1158</v>
      </c>
      <c r="D1783" s="6">
        <f>IFERROR(__xludf.DUMMYFUNCTION("SPLIT(MID(C1783,2,LEN(C1783)-2), "","")"),2815.0)</f>
        <v>2815</v>
      </c>
      <c r="E1783" s="7"/>
      <c r="F1783" s="7"/>
      <c r="G1783" s="2" t="str">
        <f t="array" ref="G1783">IF(ISBLANK(D1783), "", INDEX(Categories!$B:$B,MATCH(D1783,Categories!$A:$A,0)))</f>
        <v>Hospitals, Clinics &amp; Medical Centers</v>
      </c>
      <c r="H1783" s="7" t="str">
        <f t="array" ref="H1783">IF(ISBLANK(E1783), "", INDEX(Categories!$B:$B,MATCH(E1783,Categories!$A:$A,0)))</f>
        <v/>
      </c>
      <c r="I1783" s="7" t="str">
        <f t="array" ref="I1783">IF(ISBLANK(F1783), "", INDEX(Categories!$B:$B,MATCH(F1783,Categories!$A:$A,0)))</f>
        <v/>
      </c>
      <c r="J1783" s="4"/>
      <c r="K1783" s="4"/>
      <c r="L1783" s="4"/>
      <c r="M1783" s="4"/>
      <c r="N1783" s="4"/>
      <c r="O1783" s="4"/>
      <c r="P1783" s="4"/>
      <c r="Q1783" s="4"/>
    </row>
    <row r="1784">
      <c r="A1784" s="5">
        <v>1783.0</v>
      </c>
      <c r="B1784" s="5" t="s">
        <v>2235</v>
      </c>
      <c r="C1784" s="5" t="s">
        <v>87</v>
      </c>
      <c r="D1784" s="6">
        <f>IFERROR(__xludf.DUMMYFUNCTION("SPLIT(MID(C1784,2,LEN(C1784)-2), "","")"),168.0)</f>
        <v>168</v>
      </c>
      <c r="E1784" s="7"/>
      <c r="F1784" s="7"/>
      <c r="G1784" s="2" t="str">
        <f t="array" ref="G1784">IF(ISBLANK(D1784), "", INDEX(Categories!$B:$B,MATCH(D1784,Categories!$A:$A,0)))</f>
        <v>Hotels &amp; Motels</v>
      </c>
      <c r="H1784" s="7" t="str">
        <f t="array" ref="H1784">IF(ISBLANK(E1784), "", INDEX(Categories!$B:$B,MATCH(E1784,Categories!$A:$A,0)))</f>
        <v/>
      </c>
      <c r="I1784" s="7" t="str">
        <f t="array" ref="I1784">IF(ISBLANK(F1784), "", INDEX(Categories!$B:$B,MATCH(F1784,Categories!$A:$A,0)))</f>
        <v/>
      </c>
      <c r="J1784" s="4"/>
      <c r="K1784" s="4"/>
      <c r="L1784" s="4"/>
      <c r="M1784" s="4"/>
      <c r="N1784" s="4"/>
      <c r="O1784" s="4"/>
      <c r="P1784" s="4"/>
      <c r="Q1784" s="4"/>
    </row>
    <row r="1785">
      <c r="A1785" s="5">
        <v>1784.0</v>
      </c>
      <c r="B1785" s="5" t="s">
        <v>2236</v>
      </c>
      <c r="C1785" s="5" t="s">
        <v>1246</v>
      </c>
      <c r="D1785" s="6">
        <f>IFERROR(__xludf.DUMMYFUNCTION("SPLIT(MID(C1785,2,LEN(C1785)-2), "","")"),2590.0)</f>
        <v>2590</v>
      </c>
      <c r="E1785" s="7"/>
      <c r="F1785" s="7"/>
      <c r="G1785" s="2" t="str">
        <f t="array" ref="G1785">IF(ISBLANK(D1785), "", INDEX(Categories!$B:$B,MATCH(D1785,Categories!$A:$A,0)))</f>
        <v>Windows</v>
      </c>
      <c r="H1785" s="7" t="str">
        <f t="array" ref="H1785">IF(ISBLANK(E1785), "", INDEX(Categories!$B:$B,MATCH(E1785,Categories!$A:$A,0)))</f>
        <v/>
      </c>
      <c r="I1785" s="7" t="str">
        <f t="array" ref="I1785">IF(ISBLANK(F1785), "", INDEX(Categories!$B:$B,MATCH(F1785,Categories!$A:$A,0)))</f>
        <v/>
      </c>
      <c r="J1785" s="4"/>
      <c r="K1785" s="4"/>
      <c r="L1785" s="4"/>
      <c r="M1785" s="4"/>
      <c r="N1785" s="4"/>
      <c r="O1785" s="4"/>
      <c r="P1785" s="4"/>
      <c r="Q1785" s="4"/>
    </row>
    <row r="1786">
      <c r="A1786" s="5">
        <v>1785.0</v>
      </c>
      <c r="B1786" s="5" t="s">
        <v>2237</v>
      </c>
      <c r="C1786" s="5" t="s">
        <v>562</v>
      </c>
      <c r="D1786" s="6">
        <f>IFERROR(__xludf.DUMMYFUNCTION("SPLIT(MID(C1786,2,LEN(C1786)-2), "","")"),162.0)</f>
        <v>162</v>
      </c>
      <c r="E1786" s="7"/>
      <c r="F1786" s="7"/>
      <c r="G1786" s="2" t="str">
        <f t="array" ref="G1786">IF(ISBLANK(D1786), "", INDEX(Categories!$B:$B,MATCH(D1786,Categories!$A:$A,0)))</f>
        <v>Hotels, Motels, &amp; Lodging</v>
      </c>
      <c r="H1786" s="7" t="str">
        <f t="array" ref="H1786">IF(ISBLANK(E1786), "", INDEX(Categories!$B:$B,MATCH(E1786,Categories!$A:$A,0)))</f>
        <v/>
      </c>
      <c r="I1786" s="7" t="str">
        <f t="array" ref="I1786">IF(ISBLANK(F1786), "", INDEX(Categories!$B:$B,MATCH(F1786,Categories!$A:$A,0)))</f>
        <v/>
      </c>
      <c r="J1786" s="4"/>
      <c r="K1786" s="4"/>
      <c r="L1786" s="4"/>
      <c r="M1786" s="4"/>
      <c r="N1786" s="4"/>
      <c r="O1786" s="4"/>
      <c r="P1786" s="4"/>
      <c r="Q1786" s="4"/>
    </row>
    <row r="1787">
      <c r="A1787" s="5">
        <v>1786.0</v>
      </c>
      <c r="B1787" s="5" t="s">
        <v>2238</v>
      </c>
      <c r="C1787" s="5" t="s">
        <v>107</v>
      </c>
      <c r="D1787" s="6">
        <f>IFERROR(__xludf.DUMMYFUNCTION("SPLIT(MID(C1787,2,LEN(C1787)-2), "","")"),760.0)</f>
        <v>760</v>
      </c>
      <c r="E1787" s="7"/>
      <c r="F1787" s="7"/>
      <c r="G1787" s="2" t="str">
        <f t="array" ref="G1787">IF(ISBLANK(D1787), "", INDEX(Categories!$B:$B,MATCH(D1787,Categories!$A:$A,0)))</f>
        <v>Discount Stores</v>
      </c>
      <c r="H1787" s="7" t="str">
        <f t="array" ref="H1787">IF(ISBLANK(E1787), "", INDEX(Categories!$B:$B,MATCH(E1787,Categories!$A:$A,0)))</f>
        <v/>
      </c>
      <c r="I1787" s="7" t="str">
        <f t="array" ref="I1787">IF(ISBLANK(F1787), "", INDEX(Categories!$B:$B,MATCH(F1787,Categories!$A:$A,0)))</f>
        <v/>
      </c>
      <c r="J1787" s="4"/>
      <c r="K1787" s="4"/>
      <c r="L1787" s="4"/>
      <c r="M1787" s="4"/>
      <c r="N1787" s="4"/>
      <c r="O1787" s="4"/>
      <c r="P1787" s="4"/>
      <c r="Q1787" s="4"/>
    </row>
    <row r="1788">
      <c r="A1788" s="5">
        <v>1787.0</v>
      </c>
      <c r="B1788" s="5" t="s">
        <v>2239</v>
      </c>
      <c r="C1788" s="5" t="s">
        <v>2240</v>
      </c>
      <c r="D1788" s="6">
        <f>IFERROR(__xludf.DUMMYFUNCTION("SPLIT(MID(C1788,2,LEN(C1788)-2), "","")"),1019.0)</f>
        <v>1019</v>
      </c>
      <c r="E1788" s="7"/>
      <c r="F1788" s="7"/>
      <c r="G1788" s="2" t="str">
        <f t="array" ref="G1788">IF(ISBLANK(D1788), "", INDEX(Categories!$B:$B,MATCH(D1788,Categories!$A:$A,0)))</f>
        <v>Fire Extinguishers</v>
      </c>
      <c r="H1788" s="7" t="str">
        <f t="array" ref="H1788">IF(ISBLANK(E1788), "", INDEX(Categories!$B:$B,MATCH(E1788,Categories!$A:$A,0)))</f>
        <v/>
      </c>
      <c r="I1788" s="7" t="str">
        <f t="array" ref="I1788">IF(ISBLANK(F1788), "", INDEX(Categories!$B:$B,MATCH(F1788,Categories!$A:$A,0)))</f>
        <v/>
      </c>
      <c r="J1788" s="4"/>
      <c r="K1788" s="4"/>
      <c r="L1788" s="4"/>
      <c r="M1788" s="4"/>
      <c r="N1788" s="4"/>
      <c r="O1788" s="4"/>
      <c r="P1788" s="4"/>
      <c r="Q1788" s="4"/>
    </row>
    <row r="1789">
      <c r="A1789" s="5">
        <v>1788.0</v>
      </c>
      <c r="B1789" s="5" t="s">
        <v>2241</v>
      </c>
      <c r="C1789" s="5" t="s">
        <v>2242</v>
      </c>
      <c r="D1789" s="6">
        <f>IFERROR(__xludf.DUMMYFUNCTION("SPLIT(MID(C1789,2,LEN(C1789)-2), "","")"),2280.0)</f>
        <v>2280</v>
      </c>
      <c r="E1789" s="7"/>
      <c r="F1789" s="7"/>
      <c r="G1789" s="2" t="str">
        <f t="array" ref="G1789">IF(ISBLANK(D1789), "", INDEX(Categories!$B:$B,MATCH(D1789,Categories!$A:$A,0)))</f>
        <v>Miscellaneous Contractor &amp; Consultant Services</v>
      </c>
      <c r="H1789" s="7" t="str">
        <f t="array" ref="H1789">IF(ISBLANK(E1789), "", INDEX(Categories!$B:$B,MATCH(E1789,Categories!$A:$A,0)))</f>
        <v/>
      </c>
      <c r="I1789" s="7" t="str">
        <f t="array" ref="I1789">IF(ISBLANK(F1789), "", INDEX(Categories!$B:$B,MATCH(F1789,Categories!$A:$A,0)))</f>
        <v/>
      </c>
      <c r="J1789" s="4"/>
      <c r="K1789" s="4"/>
      <c r="L1789" s="4"/>
      <c r="M1789" s="4"/>
      <c r="N1789" s="4"/>
      <c r="O1789" s="4"/>
      <c r="P1789" s="4"/>
      <c r="Q1789" s="4"/>
    </row>
    <row r="1790">
      <c r="A1790" s="5">
        <v>1789.0</v>
      </c>
      <c r="B1790" s="5" t="s">
        <v>2243</v>
      </c>
      <c r="C1790" s="5" t="s">
        <v>2244</v>
      </c>
      <c r="D1790" s="6">
        <f>IFERROR(__xludf.DUMMYFUNCTION("SPLIT(MID(C1790,2,LEN(C1790)-2), "","")"),1395.0)</f>
        <v>1395</v>
      </c>
      <c r="E1790" s="7"/>
      <c r="F1790" s="7"/>
      <c r="G1790" s="2" t="str">
        <f t="array" ref="G1790">IF(ISBLANK(D1790), "", INDEX(Categories!$B:$B,MATCH(D1790,Categories!$A:$A,0)))</f>
        <v>Schools - Training &amp; Vocational</v>
      </c>
      <c r="H1790" s="7" t="str">
        <f t="array" ref="H1790">IF(ISBLANK(E1790), "", INDEX(Categories!$B:$B,MATCH(E1790,Categories!$A:$A,0)))</f>
        <v/>
      </c>
      <c r="I1790" s="7" t="str">
        <f t="array" ref="I1790">IF(ISBLANK(F1790), "", INDEX(Categories!$B:$B,MATCH(F1790,Categories!$A:$A,0)))</f>
        <v/>
      </c>
      <c r="J1790" s="4"/>
      <c r="K1790" s="4"/>
      <c r="L1790" s="4"/>
      <c r="M1790" s="4"/>
      <c r="N1790" s="4"/>
      <c r="O1790" s="4"/>
      <c r="P1790" s="4"/>
      <c r="Q1790" s="4"/>
    </row>
    <row r="1791">
      <c r="A1791" s="5">
        <v>1790.0</v>
      </c>
      <c r="B1791" s="5" t="s">
        <v>2245</v>
      </c>
      <c r="C1791" s="5" t="s">
        <v>87</v>
      </c>
      <c r="D1791" s="6">
        <f>IFERROR(__xludf.DUMMYFUNCTION("SPLIT(MID(C1791,2,LEN(C1791)-2), "","")"),168.0)</f>
        <v>168</v>
      </c>
      <c r="E1791" s="7"/>
      <c r="F1791" s="7"/>
      <c r="G1791" s="2" t="str">
        <f t="array" ref="G1791">IF(ISBLANK(D1791), "", INDEX(Categories!$B:$B,MATCH(D1791,Categories!$A:$A,0)))</f>
        <v>Hotels &amp; Motels</v>
      </c>
      <c r="H1791" s="7" t="str">
        <f t="array" ref="H1791">IF(ISBLANK(E1791), "", INDEX(Categories!$B:$B,MATCH(E1791,Categories!$A:$A,0)))</f>
        <v/>
      </c>
      <c r="I1791" s="7" t="str">
        <f t="array" ref="I1791">IF(ISBLANK(F1791), "", INDEX(Categories!$B:$B,MATCH(F1791,Categories!$A:$A,0)))</f>
        <v/>
      </c>
      <c r="J1791" s="4"/>
      <c r="K1791" s="4"/>
      <c r="L1791" s="4"/>
      <c r="M1791" s="4"/>
      <c r="N1791" s="4"/>
      <c r="O1791" s="4"/>
      <c r="P1791" s="4"/>
      <c r="Q1791" s="4"/>
    </row>
    <row r="1792">
      <c r="A1792" s="5">
        <v>1791.0</v>
      </c>
      <c r="B1792" s="5" t="s">
        <v>2246</v>
      </c>
      <c r="C1792" s="5" t="s">
        <v>170</v>
      </c>
      <c r="D1792" s="6">
        <f>IFERROR(__xludf.DUMMYFUNCTION("SPLIT(MID(C1792,2,LEN(C1792)-2), "","")"),189.0)</f>
        <v>189</v>
      </c>
      <c r="E1792" s="7"/>
      <c r="F1792" s="7"/>
      <c r="G1792" s="2" t="str">
        <f t="array" ref="G1792">IF(ISBLANK(D1792), "", INDEX(Categories!$B:$B,MATCH(D1792,Categories!$A:$A,0)))</f>
        <v>Pharmacies</v>
      </c>
      <c r="H1792" s="7" t="str">
        <f t="array" ref="H1792">IF(ISBLANK(E1792), "", INDEX(Categories!$B:$B,MATCH(E1792,Categories!$A:$A,0)))</f>
        <v/>
      </c>
      <c r="I1792" s="7" t="str">
        <f t="array" ref="I1792">IF(ISBLANK(F1792), "", INDEX(Categories!$B:$B,MATCH(F1792,Categories!$A:$A,0)))</f>
        <v/>
      </c>
      <c r="J1792" s="4"/>
      <c r="K1792" s="4"/>
      <c r="L1792" s="4"/>
      <c r="M1792" s="4"/>
      <c r="N1792" s="4"/>
      <c r="O1792" s="4"/>
      <c r="P1792" s="4"/>
      <c r="Q1792" s="4"/>
    </row>
    <row r="1793">
      <c r="A1793" s="5">
        <v>1792.0</v>
      </c>
      <c r="B1793" s="5" t="s">
        <v>2247</v>
      </c>
      <c r="C1793" s="5" t="s">
        <v>2248</v>
      </c>
      <c r="D1793" s="6">
        <f>IFERROR(__xludf.DUMMYFUNCTION("SPLIT(MID(C1793,2,LEN(C1793)-2), "","")"),1591.0)</f>
        <v>1591</v>
      </c>
      <c r="E1793" s="7"/>
      <c r="F1793" s="7"/>
      <c r="G1793" s="2" t="str">
        <f t="array" ref="G1793">IF(ISBLANK(D1793), "", INDEX(Categories!$B:$B,MATCH(D1793,Categories!$A:$A,0)))</f>
        <v>Tutoring</v>
      </c>
      <c r="H1793" s="7" t="str">
        <f t="array" ref="H1793">IF(ISBLANK(E1793), "", INDEX(Categories!$B:$B,MATCH(E1793,Categories!$A:$A,0)))</f>
        <v/>
      </c>
      <c r="I1793" s="7" t="str">
        <f t="array" ref="I1793">IF(ISBLANK(F1793), "", INDEX(Categories!$B:$B,MATCH(F1793,Categories!$A:$A,0)))</f>
        <v/>
      </c>
      <c r="J1793" s="4"/>
      <c r="K1793" s="4"/>
      <c r="L1793" s="4"/>
      <c r="M1793" s="4"/>
      <c r="N1793" s="4"/>
      <c r="O1793" s="4"/>
      <c r="P1793" s="4"/>
      <c r="Q1793" s="4"/>
    </row>
    <row r="1794">
      <c r="A1794" s="5">
        <v>1793.0</v>
      </c>
      <c r="B1794" s="5" t="s">
        <v>2249</v>
      </c>
      <c r="C1794" s="5" t="s">
        <v>2250</v>
      </c>
      <c r="D1794" s="6">
        <f>IFERROR(__xludf.DUMMYFUNCTION("SPLIT(MID(C1794,2,LEN(C1794)-2), "","")"),450.0)</f>
        <v>450</v>
      </c>
      <c r="E1794" s="7"/>
      <c r="F1794" s="7"/>
      <c r="G1794" s="2" t="str">
        <f t="array" ref="G1794">IF(ISBLANK(D1794), "", INDEX(Categories!$B:$B,MATCH(D1794,Categories!$A:$A,0)))</f>
        <v>Hair Weaving</v>
      </c>
      <c r="H1794" s="7" t="str">
        <f t="array" ref="H1794">IF(ISBLANK(E1794), "", INDEX(Categories!$B:$B,MATCH(E1794,Categories!$A:$A,0)))</f>
        <v/>
      </c>
      <c r="I1794" s="7" t="str">
        <f t="array" ref="I1794">IF(ISBLANK(F1794), "", INDEX(Categories!$B:$B,MATCH(F1794,Categories!$A:$A,0)))</f>
        <v/>
      </c>
      <c r="J1794" s="4"/>
      <c r="K1794" s="4"/>
      <c r="L1794" s="4"/>
      <c r="M1794" s="4"/>
      <c r="N1794" s="4"/>
      <c r="O1794" s="4"/>
      <c r="P1794" s="4"/>
      <c r="Q1794" s="4"/>
    </row>
    <row r="1795">
      <c r="A1795" s="5">
        <v>1794.0</v>
      </c>
      <c r="B1795" s="5" t="s">
        <v>2251</v>
      </c>
      <c r="C1795" s="5" t="s">
        <v>300</v>
      </c>
      <c r="D1795" s="6">
        <f>IFERROR(__xludf.DUMMYFUNCTION("SPLIT(MID(C1795,2,LEN(C1795)-2), "","")"),1105.0)</f>
        <v>1105</v>
      </c>
      <c r="E1795" s="7"/>
      <c r="F1795" s="7"/>
      <c r="G1795" s="2" t="str">
        <f t="array" ref="G1795">IF(ISBLANK(D1795), "", INDEX(Categories!$B:$B,MATCH(D1795,Categories!$A:$A,0)))</f>
        <v>Travel &amp; Tourism</v>
      </c>
      <c r="H1795" s="7" t="str">
        <f t="array" ref="H1795">IF(ISBLANK(E1795), "", INDEX(Categories!$B:$B,MATCH(E1795,Categories!$A:$A,0)))</f>
        <v/>
      </c>
      <c r="I1795" s="7" t="str">
        <f t="array" ref="I1795">IF(ISBLANK(F1795), "", INDEX(Categories!$B:$B,MATCH(F1795,Categories!$A:$A,0)))</f>
        <v/>
      </c>
      <c r="J1795" s="4"/>
      <c r="K1795" s="4"/>
      <c r="L1795" s="4"/>
      <c r="M1795" s="4"/>
      <c r="N1795" s="4"/>
      <c r="O1795" s="4"/>
      <c r="P1795" s="4"/>
      <c r="Q1795" s="4"/>
    </row>
    <row r="1796">
      <c r="A1796" s="5">
        <v>1795.0</v>
      </c>
      <c r="B1796" s="5" t="s">
        <v>2252</v>
      </c>
      <c r="C1796" s="5" t="s">
        <v>303</v>
      </c>
      <c r="D1796" s="6">
        <f>IFERROR(__xludf.DUMMYFUNCTION("SPLIT(MID(C1796,2,LEN(C1796)-2), "","")"),1241.0)</f>
        <v>1241</v>
      </c>
      <c r="E1796" s="7"/>
      <c r="F1796" s="7"/>
      <c r="G1796" s="2" t="str">
        <f t="array" ref="G1796">IF(ISBLANK(D1796), "", INDEX(Categories!$B:$B,MATCH(D1796,Categories!$A:$A,0)))</f>
        <v>Clothing &amp; Accessories</v>
      </c>
      <c r="H1796" s="7" t="str">
        <f t="array" ref="H1796">IF(ISBLANK(E1796), "", INDEX(Categories!$B:$B,MATCH(E1796,Categories!$A:$A,0)))</f>
        <v/>
      </c>
      <c r="I1796" s="7" t="str">
        <f t="array" ref="I1796">IF(ISBLANK(F1796), "", INDEX(Categories!$B:$B,MATCH(F1796,Categories!$A:$A,0)))</f>
        <v/>
      </c>
      <c r="J1796" s="4"/>
      <c r="K1796" s="4"/>
      <c r="L1796" s="4"/>
      <c r="M1796" s="4"/>
      <c r="N1796" s="4"/>
      <c r="O1796" s="4"/>
      <c r="P1796" s="4"/>
      <c r="Q1796" s="4"/>
    </row>
    <row r="1797">
      <c r="A1797" s="5">
        <v>1796.0</v>
      </c>
      <c r="B1797" s="5" t="s">
        <v>2253</v>
      </c>
      <c r="C1797" s="5" t="s">
        <v>1282</v>
      </c>
      <c r="D1797" s="6">
        <f>IFERROR(__xludf.DUMMYFUNCTION("SPLIT(MID(C1797,2,LEN(C1797)-2), "","")"),718.0)</f>
        <v>718</v>
      </c>
      <c r="E1797" s="7"/>
      <c r="F1797" s="7"/>
      <c r="G1797" s="2" t="str">
        <f t="array" ref="G1797">IF(ISBLANK(D1797), "", INDEX(Categories!$B:$B,MATCH(D1797,Categories!$A:$A,0)))</f>
        <v>Computer &amp; Computer Equipment Service &amp; Repair</v>
      </c>
      <c r="H1797" s="7" t="str">
        <f t="array" ref="H1797">IF(ISBLANK(E1797), "", INDEX(Categories!$B:$B,MATCH(E1797,Categories!$A:$A,0)))</f>
        <v/>
      </c>
      <c r="I1797" s="7" t="str">
        <f t="array" ref="I1797">IF(ISBLANK(F1797), "", INDEX(Categories!$B:$B,MATCH(F1797,Categories!$A:$A,0)))</f>
        <v/>
      </c>
      <c r="J1797" s="4"/>
      <c r="K1797" s="4"/>
      <c r="L1797" s="4"/>
      <c r="M1797" s="4"/>
      <c r="N1797" s="4"/>
      <c r="O1797" s="4"/>
      <c r="P1797" s="4"/>
      <c r="Q1797" s="4"/>
    </row>
    <row r="1798">
      <c r="A1798" s="5">
        <v>1797.0</v>
      </c>
      <c r="B1798" s="5" t="s">
        <v>2254</v>
      </c>
      <c r="C1798" s="5" t="s">
        <v>423</v>
      </c>
      <c r="D1798" s="6">
        <f>IFERROR(__xludf.DUMMYFUNCTION("SPLIT(MID(C1798,2,LEN(C1798)-2), "","")"),1079.0)</f>
        <v>1079</v>
      </c>
      <c r="E1798" s="7"/>
      <c r="F1798" s="7"/>
      <c r="G1798" s="2" t="str">
        <f t="array" ref="G1798">IF(ISBLANK(D1798), "", INDEX(Categories!$B:$B,MATCH(D1798,Categories!$A:$A,0)))</f>
        <v>Rental Service Stores &amp; Yards</v>
      </c>
      <c r="H1798" s="7" t="str">
        <f t="array" ref="H1798">IF(ISBLANK(E1798), "", INDEX(Categories!$B:$B,MATCH(E1798,Categories!$A:$A,0)))</f>
        <v/>
      </c>
      <c r="I1798" s="7" t="str">
        <f t="array" ref="I1798">IF(ISBLANK(F1798), "", INDEX(Categories!$B:$B,MATCH(F1798,Categories!$A:$A,0)))</f>
        <v/>
      </c>
      <c r="J1798" s="4"/>
      <c r="K1798" s="4"/>
      <c r="L1798" s="4"/>
      <c r="M1798" s="4"/>
      <c r="N1798" s="4"/>
      <c r="O1798" s="4"/>
      <c r="P1798" s="4"/>
      <c r="Q1798" s="4"/>
    </row>
    <row r="1799">
      <c r="A1799" s="5">
        <v>1798.0</v>
      </c>
      <c r="B1799" s="5" t="s">
        <v>2255</v>
      </c>
      <c r="C1799" s="5" t="s">
        <v>87</v>
      </c>
      <c r="D1799" s="6">
        <f>IFERROR(__xludf.DUMMYFUNCTION("SPLIT(MID(C1799,2,LEN(C1799)-2), "","")"),168.0)</f>
        <v>168</v>
      </c>
      <c r="E1799" s="7"/>
      <c r="F1799" s="7"/>
      <c r="G1799" s="2" t="str">
        <f t="array" ref="G1799">IF(ISBLANK(D1799), "", INDEX(Categories!$B:$B,MATCH(D1799,Categories!$A:$A,0)))</f>
        <v>Hotels &amp; Motels</v>
      </c>
      <c r="H1799" s="7" t="str">
        <f t="array" ref="H1799">IF(ISBLANK(E1799), "", INDEX(Categories!$B:$B,MATCH(E1799,Categories!$A:$A,0)))</f>
        <v/>
      </c>
      <c r="I1799" s="7" t="str">
        <f t="array" ref="I1799">IF(ISBLANK(F1799), "", INDEX(Categories!$B:$B,MATCH(F1799,Categories!$A:$A,0)))</f>
        <v/>
      </c>
      <c r="J1799" s="4"/>
      <c r="K1799" s="4"/>
      <c r="L1799" s="4"/>
      <c r="M1799" s="4"/>
      <c r="N1799" s="4"/>
      <c r="O1799" s="4"/>
      <c r="P1799" s="4"/>
      <c r="Q1799" s="4"/>
    </row>
    <row r="1800">
      <c r="A1800" s="5">
        <v>1799.0</v>
      </c>
      <c r="B1800" s="5" t="s">
        <v>2256</v>
      </c>
      <c r="C1800" s="5" t="s">
        <v>962</v>
      </c>
      <c r="D1800" s="6">
        <f>IFERROR(__xludf.DUMMYFUNCTION("SPLIT(MID(C1800,2,LEN(C1800)-2), "","")"),1367.0)</f>
        <v>1367</v>
      </c>
      <c r="E1800" s="7"/>
      <c r="F1800" s="7"/>
      <c r="G1800" s="2" t="str">
        <f t="array" ref="G1800">IF(ISBLANK(D1800), "", INDEX(Categories!$B:$B,MATCH(D1800,Categories!$A:$A,0)))</f>
        <v>Water Filtration Distillation &amp; Purification Equipment</v>
      </c>
      <c r="H1800" s="7" t="str">
        <f t="array" ref="H1800">IF(ISBLANK(E1800), "", INDEX(Categories!$B:$B,MATCH(E1800,Categories!$A:$A,0)))</f>
        <v/>
      </c>
      <c r="I1800" s="7" t="str">
        <f t="array" ref="I1800">IF(ISBLANK(F1800), "", INDEX(Categories!$B:$B,MATCH(F1800,Categories!$A:$A,0)))</f>
        <v/>
      </c>
      <c r="J1800" s="4"/>
      <c r="K1800" s="4"/>
      <c r="L1800" s="4"/>
      <c r="M1800" s="4"/>
      <c r="N1800" s="4"/>
      <c r="O1800" s="4"/>
      <c r="P1800" s="4"/>
      <c r="Q1800" s="4"/>
    </row>
    <row r="1801">
      <c r="A1801" s="5">
        <v>1800.0</v>
      </c>
      <c r="B1801" s="5" t="s">
        <v>2257</v>
      </c>
      <c r="C1801" s="5" t="s">
        <v>87</v>
      </c>
      <c r="D1801" s="6">
        <f>IFERROR(__xludf.DUMMYFUNCTION("SPLIT(MID(C1801,2,LEN(C1801)-2), "","")"),168.0)</f>
        <v>168</v>
      </c>
      <c r="E1801" s="7"/>
      <c r="F1801" s="7"/>
      <c r="G1801" s="2" t="str">
        <f t="array" ref="G1801">IF(ISBLANK(D1801), "", INDEX(Categories!$B:$B,MATCH(D1801,Categories!$A:$A,0)))</f>
        <v>Hotels &amp; Motels</v>
      </c>
      <c r="H1801" s="7" t="str">
        <f t="array" ref="H1801">IF(ISBLANK(E1801), "", INDEX(Categories!$B:$B,MATCH(E1801,Categories!$A:$A,0)))</f>
        <v/>
      </c>
      <c r="I1801" s="7" t="str">
        <f t="array" ref="I1801">IF(ISBLANK(F1801), "", INDEX(Categories!$B:$B,MATCH(F1801,Categories!$A:$A,0)))</f>
        <v/>
      </c>
      <c r="J1801" s="4"/>
      <c r="K1801" s="4"/>
      <c r="L1801" s="4"/>
      <c r="M1801" s="4"/>
      <c r="N1801" s="4"/>
      <c r="O1801" s="4"/>
      <c r="P1801" s="4"/>
      <c r="Q1801" s="4"/>
    </row>
    <row r="1802">
      <c r="A1802" s="5">
        <v>1801.0</v>
      </c>
      <c r="B1802" s="5" t="s">
        <v>2258</v>
      </c>
      <c r="C1802" s="5" t="s">
        <v>562</v>
      </c>
      <c r="D1802" s="6">
        <f>IFERROR(__xludf.DUMMYFUNCTION("SPLIT(MID(C1802,2,LEN(C1802)-2), "","")"),162.0)</f>
        <v>162</v>
      </c>
      <c r="E1802" s="7"/>
      <c r="F1802" s="7"/>
      <c r="G1802" s="2" t="str">
        <f t="array" ref="G1802">IF(ISBLANK(D1802), "", INDEX(Categories!$B:$B,MATCH(D1802,Categories!$A:$A,0)))</f>
        <v>Hotels, Motels, &amp; Lodging</v>
      </c>
      <c r="H1802" s="7" t="str">
        <f t="array" ref="H1802">IF(ISBLANK(E1802), "", INDEX(Categories!$B:$B,MATCH(E1802,Categories!$A:$A,0)))</f>
        <v/>
      </c>
      <c r="I1802" s="7" t="str">
        <f t="array" ref="I1802">IF(ISBLANK(F1802), "", INDEX(Categories!$B:$B,MATCH(F1802,Categories!$A:$A,0)))</f>
        <v/>
      </c>
      <c r="J1802" s="4"/>
      <c r="K1802" s="4"/>
      <c r="L1802" s="4"/>
      <c r="M1802" s="4"/>
      <c r="N1802" s="4"/>
      <c r="O1802" s="4"/>
      <c r="P1802" s="4"/>
      <c r="Q1802" s="4"/>
    </row>
    <row r="1803">
      <c r="A1803" s="5">
        <v>1802.0</v>
      </c>
      <c r="B1803" s="5" t="s">
        <v>2259</v>
      </c>
      <c r="C1803" s="5" t="s">
        <v>562</v>
      </c>
      <c r="D1803" s="6">
        <f>IFERROR(__xludf.DUMMYFUNCTION("SPLIT(MID(C1803,2,LEN(C1803)-2), "","")"),162.0)</f>
        <v>162</v>
      </c>
      <c r="E1803" s="7"/>
      <c r="F1803" s="7"/>
      <c r="G1803" s="2" t="str">
        <f t="array" ref="G1803">IF(ISBLANK(D1803), "", INDEX(Categories!$B:$B,MATCH(D1803,Categories!$A:$A,0)))</f>
        <v>Hotels, Motels, &amp; Lodging</v>
      </c>
      <c r="H1803" s="7" t="str">
        <f t="array" ref="H1803">IF(ISBLANK(E1803), "", INDEX(Categories!$B:$B,MATCH(E1803,Categories!$A:$A,0)))</f>
        <v/>
      </c>
      <c r="I1803" s="7" t="str">
        <f t="array" ref="I1803">IF(ISBLANK(F1803), "", INDEX(Categories!$B:$B,MATCH(F1803,Categories!$A:$A,0)))</f>
        <v/>
      </c>
      <c r="J1803" s="4"/>
      <c r="K1803" s="4"/>
      <c r="L1803" s="4"/>
      <c r="M1803" s="4"/>
      <c r="N1803" s="4"/>
      <c r="O1803" s="4"/>
      <c r="P1803" s="4"/>
      <c r="Q1803" s="4"/>
    </row>
    <row r="1804">
      <c r="A1804" s="5">
        <v>1803.0</v>
      </c>
      <c r="B1804" s="5" t="s">
        <v>2260</v>
      </c>
      <c r="C1804" s="5" t="s">
        <v>428</v>
      </c>
      <c r="D1804" s="6">
        <f>IFERROR(__xludf.DUMMYFUNCTION("SPLIT(MID(C1804,2,LEN(C1804)-2), "","")"),558.0)</f>
        <v>558</v>
      </c>
      <c r="E1804" s="7"/>
      <c r="F1804" s="7"/>
      <c r="G1804" s="2" t="str">
        <f t="array" ref="G1804">IF(ISBLANK(D1804), "", INDEX(Categories!$B:$B,MATCH(D1804,Categories!$A:$A,0)))</f>
        <v>Employment Agencies</v>
      </c>
      <c r="H1804" s="7" t="str">
        <f t="array" ref="H1804">IF(ISBLANK(E1804), "", INDEX(Categories!$B:$B,MATCH(E1804,Categories!$A:$A,0)))</f>
        <v/>
      </c>
      <c r="I1804" s="7" t="str">
        <f t="array" ref="I1804">IF(ISBLANK(F1804), "", INDEX(Categories!$B:$B,MATCH(F1804,Categories!$A:$A,0)))</f>
        <v/>
      </c>
      <c r="J1804" s="4"/>
      <c r="K1804" s="4"/>
      <c r="L1804" s="4"/>
      <c r="M1804" s="4"/>
      <c r="N1804" s="4"/>
      <c r="O1804" s="4"/>
      <c r="P1804" s="4"/>
      <c r="Q1804" s="4"/>
    </row>
    <row r="1805">
      <c r="A1805" s="5">
        <v>1804.0</v>
      </c>
      <c r="B1805" s="5" t="s">
        <v>2261</v>
      </c>
      <c r="C1805" s="5" t="s">
        <v>631</v>
      </c>
      <c r="D1805" s="6">
        <f>IFERROR(__xludf.DUMMYFUNCTION("SPLIT(MID(C1805,2,LEN(C1805)-2), "","")"),25.0)</f>
        <v>25</v>
      </c>
      <c r="E1805" s="7"/>
      <c r="F1805" s="7"/>
      <c r="G1805" s="2" t="str">
        <f t="array" ref="G1805">IF(ISBLANK(D1805), "", INDEX(Categories!$B:$B,MATCH(D1805,Categories!$A:$A,0)))</f>
        <v>Furniture Dealers</v>
      </c>
      <c r="H1805" s="7" t="str">
        <f t="array" ref="H1805">IF(ISBLANK(E1805), "", INDEX(Categories!$B:$B,MATCH(E1805,Categories!$A:$A,0)))</f>
        <v/>
      </c>
      <c r="I1805" s="7" t="str">
        <f t="array" ref="I1805">IF(ISBLANK(F1805), "", INDEX(Categories!$B:$B,MATCH(F1805,Categories!$A:$A,0)))</f>
        <v/>
      </c>
      <c r="J1805" s="4"/>
      <c r="K1805" s="4"/>
      <c r="L1805" s="4"/>
      <c r="M1805" s="4"/>
      <c r="N1805" s="4"/>
      <c r="O1805" s="4"/>
      <c r="P1805" s="4"/>
      <c r="Q1805" s="4"/>
    </row>
    <row r="1806">
      <c r="A1806" s="5">
        <v>1805.0</v>
      </c>
      <c r="B1806" s="5" t="s">
        <v>2262</v>
      </c>
      <c r="C1806" s="5" t="s">
        <v>730</v>
      </c>
      <c r="D1806" s="6">
        <f>IFERROR(__xludf.DUMMYFUNCTION("SPLIT(MID(C1806,2,LEN(C1806)-2), "","")"),2765.0)</f>
        <v>2765</v>
      </c>
      <c r="E1806" s="7"/>
      <c r="F1806" s="7"/>
      <c r="G1806" s="2" t="str">
        <f t="array" ref="G1806">IF(ISBLANK(D1806), "", INDEX(Categories!$B:$B,MATCH(D1806,Categories!$A:$A,0)))</f>
        <v>Miscellaneous Business Services</v>
      </c>
      <c r="H1806" s="7" t="str">
        <f t="array" ref="H1806">IF(ISBLANK(E1806), "", INDEX(Categories!$B:$B,MATCH(E1806,Categories!$A:$A,0)))</f>
        <v/>
      </c>
      <c r="I1806" s="7" t="str">
        <f t="array" ref="I1806">IF(ISBLANK(F1806), "", INDEX(Categories!$B:$B,MATCH(F1806,Categories!$A:$A,0)))</f>
        <v/>
      </c>
      <c r="J1806" s="4"/>
      <c r="K1806" s="4"/>
      <c r="L1806" s="4"/>
      <c r="M1806" s="4"/>
      <c r="N1806" s="4"/>
      <c r="O1806" s="4"/>
      <c r="P1806" s="4"/>
      <c r="Q1806" s="4"/>
    </row>
    <row r="1807">
      <c r="A1807" s="5">
        <v>1806.0</v>
      </c>
      <c r="B1807" s="5" t="s">
        <v>2263</v>
      </c>
      <c r="C1807" s="5" t="s">
        <v>69</v>
      </c>
      <c r="D1807" s="6">
        <f>IFERROR(__xludf.DUMMYFUNCTION("SPLIT(MID(C1807,2,LEN(C1807)-2), "","")"),293.0)</f>
        <v>293</v>
      </c>
      <c r="E1807" s="7"/>
      <c r="F1807" s="7"/>
      <c r="G1807" s="2" t="str">
        <f t="array" ref="G1807">IF(ISBLANK(D1807), "", INDEX(Categories!$B:$B,MATCH(D1807,Categories!$A:$A,0)))</f>
        <v>Banks Commercial</v>
      </c>
      <c r="H1807" s="7" t="str">
        <f t="array" ref="H1807">IF(ISBLANK(E1807), "", INDEX(Categories!$B:$B,MATCH(E1807,Categories!$A:$A,0)))</f>
        <v/>
      </c>
      <c r="I1807" s="7" t="str">
        <f t="array" ref="I1807">IF(ISBLANK(F1807), "", INDEX(Categories!$B:$B,MATCH(F1807,Categories!$A:$A,0)))</f>
        <v/>
      </c>
      <c r="J1807" s="4"/>
      <c r="K1807" s="4"/>
      <c r="L1807" s="4"/>
      <c r="M1807" s="4"/>
      <c r="N1807" s="4"/>
      <c r="O1807" s="4"/>
      <c r="P1807" s="4"/>
      <c r="Q1807" s="4"/>
    </row>
    <row r="1808">
      <c r="A1808" s="5">
        <v>1807.0</v>
      </c>
      <c r="B1808" s="5" t="s">
        <v>2264</v>
      </c>
      <c r="C1808" s="5" t="s">
        <v>428</v>
      </c>
      <c r="D1808" s="6">
        <f>IFERROR(__xludf.DUMMYFUNCTION("SPLIT(MID(C1808,2,LEN(C1808)-2), "","")"),558.0)</f>
        <v>558</v>
      </c>
      <c r="E1808" s="7"/>
      <c r="F1808" s="7"/>
      <c r="G1808" s="2" t="str">
        <f t="array" ref="G1808">IF(ISBLANK(D1808), "", INDEX(Categories!$B:$B,MATCH(D1808,Categories!$A:$A,0)))</f>
        <v>Employment Agencies</v>
      </c>
      <c r="H1808" s="7" t="str">
        <f t="array" ref="H1808">IF(ISBLANK(E1808), "", INDEX(Categories!$B:$B,MATCH(E1808,Categories!$A:$A,0)))</f>
        <v/>
      </c>
      <c r="I1808" s="7" t="str">
        <f t="array" ref="I1808">IF(ISBLANK(F1808), "", INDEX(Categories!$B:$B,MATCH(F1808,Categories!$A:$A,0)))</f>
        <v/>
      </c>
      <c r="J1808" s="4"/>
      <c r="K1808" s="4"/>
      <c r="L1808" s="4"/>
      <c r="M1808" s="4"/>
      <c r="N1808" s="4"/>
      <c r="O1808" s="4"/>
      <c r="P1808" s="4"/>
      <c r="Q1808" s="4"/>
    </row>
    <row r="1809">
      <c r="A1809" s="5">
        <v>1808.0</v>
      </c>
      <c r="B1809" s="5" t="s">
        <v>2265</v>
      </c>
      <c r="C1809" s="5" t="s">
        <v>950</v>
      </c>
      <c r="D1809" s="6">
        <f>IFERROR(__xludf.DUMMYFUNCTION("SPLIT(MID(C1809,2,LEN(C1809)-2), "","")"),2093.0)</f>
        <v>2093</v>
      </c>
      <c r="E1809" s="7"/>
      <c r="F1809" s="7"/>
      <c r="G1809" s="2" t="str">
        <f t="array" ref="G1809">IF(ISBLANK(D1809), "", INDEX(Categories!$B:$B,MATCH(D1809,Categories!$A:$A,0)))</f>
        <v>Mattresses &amp; Bedding Retail</v>
      </c>
      <c r="H1809" s="7" t="str">
        <f t="array" ref="H1809">IF(ISBLANK(E1809), "", INDEX(Categories!$B:$B,MATCH(E1809,Categories!$A:$A,0)))</f>
        <v/>
      </c>
      <c r="I1809" s="7" t="str">
        <f t="array" ref="I1809">IF(ISBLANK(F1809), "", INDEX(Categories!$B:$B,MATCH(F1809,Categories!$A:$A,0)))</f>
        <v/>
      </c>
      <c r="J1809" s="4"/>
      <c r="K1809" s="4"/>
      <c r="L1809" s="4"/>
      <c r="M1809" s="4"/>
      <c r="N1809" s="4"/>
      <c r="O1809" s="4"/>
      <c r="P1809" s="4"/>
      <c r="Q1809" s="4"/>
    </row>
    <row r="1810">
      <c r="A1810" s="5">
        <v>1809.0</v>
      </c>
      <c r="B1810" s="5" t="s">
        <v>2266</v>
      </c>
      <c r="C1810" s="5" t="s">
        <v>562</v>
      </c>
      <c r="D1810" s="6">
        <f>IFERROR(__xludf.DUMMYFUNCTION("SPLIT(MID(C1810,2,LEN(C1810)-2), "","")"),162.0)</f>
        <v>162</v>
      </c>
      <c r="E1810" s="7"/>
      <c r="F1810" s="7"/>
      <c r="G1810" s="2" t="str">
        <f t="array" ref="G1810">IF(ISBLANK(D1810), "", INDEX(Categories!$B:$B,MATCH(D1810,Categories!$A:$A,0)))</f>
        <v>Hotels, Motels, &amp; Lodging</v>
      </c>
      <c r="H1810" s="7" t="str">
        <f t="array" ref="H1810">IF(ISBLANK(E1810), "", INDEX(Categories!$B:$B,MATCH(E1810,Categories!$A:$A,0)))</f>
        <v/>
      </c>
      <c r="I1810" s="7" t="str">
        <f t="array" ref="I1810">IF(ISBLANK(F1810), "", INDEX(Categories!$B:$B,MATCH(F1810,Categories!$A:$A,0)))</f>
        <v/>
      </c>
      <c r="J1810" s="4"/>
      <c r="K1810" s="4"/>
      <c r="L1810" s="4"/>
      <c r="M1810" s="4"/>
      <c r="N1810" s="4"/>
      <c r="O1810" s="4"/>
      <c r="P1810" s="4"/>
      <c r="Q1810" s="4"/>
    </row>
    <row r="1811">
      <c r="A1811" s="5">
        <v>1810.0</v>
      </c>
      <c r="B1811" s="5" t="s">
        <v>2267</v>
      </c>
      <c r="C1811" s="5" t="s">
        <v>87</v>
      </c>
      <c r="D1811" s="6">
        <f>IFERROR(__xludf.DUMMYFUNCTION("SPLIT(MID(C1811,2,LEN(C1811)-2), "","")"),168.0)</f>
        <v>168</v>
      </c>
      <c r="E1811" s="7"/>
      <c r="F1811" s="7"/>
      <c r="G1811" s="2" t="str">
        <f t="array" ref="G1811">IF(ISBLANK(D1811), "", INDEX(Categories!$B:$B,MATCH(D1811,Categories!$A:$A,0)))</f>
        <v>Hotels &amp; Motels</v>
      </c>
      <c r="H1811" s="7" t="str">
        <f t="array" ref="H1811">IF(ISBLANK(E1811), "", INDEX(Categories!$B:$B,MATCH(E1811,Categories!$A:$A,0)))</f>
        <v/>
      </c>
      <c r="I1811" s="7" t="str">
        <f t="array" ref="I1811">IF(ISBLANK(F1811), "", INDEX(Categories!$B:$B,MATCH(F1811,Categories!$A:$A,0)))</f>
        <v/>
      </c>
      <c r="J1811" s="4"/>
      <c r="K1811" s="4"/>
      <c r="L1811" s="4"/>
      <c r="M1811" s="4"/>
      <c r="N1811" s="4"/>
      <c r="O1811" s="4"/>
      <c r="P1811" s="4"/>
      <c r="Q1811" s="4"/>
    </row>
    <row r="1812">
      <c r="A1812" s="5">
        <v>1811.0</v>
      </c>
      <c r="B1812" s="5" t="s">
        <v>2268</v>
      </c>
      <c r="C1812" s="5" t="s">
        <v>1856</v>
      </c>
      <c r="D1812" s="6">
        <f>IFERROR(__xludf.DUMMYFUNCTION("SPLIT(MID(C1812,2,LEN(C1812)-2), "","")"),1369.0)</f>
        <v>1369</v>
      </c>
      <c r="E1812" s="7"/>
      <c r="F1812" s="7"/>
      <c r="G1812" s="2" t="str">
        <f t="array" ref="G1812">IF(ISBLANK(D1812), "", INDEX(Categories!$B:$B,MATCH(D1812,Categories!$A:$A,0)))</f>
        <v>Storage Containers, Facilities &amp; Warehouses</v>
      </c>
      <c r="H1812" s="7" t="str">
        <f t="array" ref="H1812">IF(ISBLANK(E1812), "", INDEX(Categories!$B:$B,MATCH(E1812,Categories!$A:$A,0)))</f>
        <v/>
      </c>
      <c r="I1812" s="7" t="str">
        <f t="array" ref="I1812">IF(ISBLANK(F1812), "", INDEX(Categories!$B:$B,MATCH(F1812,Categories!$A:$A,0)))</f>
        <v/>
      </c>
      <c r="J1812" s="4"/>
      <c r="K1812" s="4"/>
      <c r="L1812" s="4"/>
      <c r="M1812" s="4"/>
      <c r="N1812" s="4"/>
      <c r="O1812" s="4"/>
      <c r="P1812" s="4"/>
      <c r="Q1812" s="4"/>
    </row>
    <row r="1813">
      <c r="A1813" s="5">
        <v>1812.0</v>
      </c>
      <c r="B1813" s="5" t="s">
        <v>2269</v>
      </c>
      <c r="C1813" s="5" t="s">
        <v>2270</v>
      </c>
      <c r="D1813" s="6">
        <f>IFERROR(__xludf.DUMMYFUNCTION("SPLIT(MID(C1813,2,LEN(C1813)-2), "","")"),1382.0)</f>
        <v>1382</v>
      </c>
      <c r="E1813" s="7"/>
      <c r="F1813" s="7"/>
      <c r="G1813" s="2" t="str">
        <f t="array" ref="G1813">IF(ISBLANK(D1813), "", INDEX(Categories!$B:$B,MATCH(D1813,Categories!$A:$A,0)))</f>
        <v>Storage Household &amp; Commercial</v>
      </c>
      <c r="H1813" s="7" t="str">
        <f t="array" ref="H1813">IF(ISBLANK(E1813), "", INDEX(Categories!$B:$B,MATCH(E1813,Categories!$A:$A,0)))</f>
        <v/>
      </c>
      <c r="I1813" s="7" t="str">
        <f t="array" ref="I1813">IF(ISBLANK(F1813), "", INDEX(Categories!$B:$B,MATCH(F1813,Categories!$A:$A,0)))</f>
        <v/>
      </c>
      <c r="J1813" s="4"/>
      <c r="K1813" s="4"/>
      <c r="L1813" s="4"/>
      <c r="M1813" s="4"/>
      <c r="N1813" s="4"/>
      <c r="O1813" s="4"/>
      <c r="P1813" s="4"/>
      <c r="Q1813" s="4"/>
    </row>
    <row r="1814">
      <c r="A1814" s="5">
        <v>1813.0</v>
      </c>
      <c r="B1814" s="5" t="s">
        <v>2271</v>
      </c>
      <c r="C1814" s="5" t="s">
        <v>382</v>
      </c>
      <c r="D1814" s="6">
        <f>IFERROR(__xludf.DUMMYFUNCTION("SPLIT(MID(C1814,2,LEN(C1814)-2), "","")"),1598.0)</f>
        <v>1598</v>
      </c>
      <c r="E1814" s="7"/>
      <c r="F1814" s="7"/>
      <c r="G1814" s="2" t="str">
        <f t="array" ref="G1814">IF(ISBLANK(D1814), "", INDEX(Categories!$B:$B,MATCH(D1814,Categories!$A:$A,0)))</f>
        <v>Adult Care Facilities</v>
      </c>
      <c r="H1814" s="7" t="str">
        <f t="array" ref="H1814">IF(ISBLANK(E1814), "", INDEX(Categories!$B:$B,MATCH(E1814,Categories!$A:$A,0)))</f>
        <v/>
      </c>
      <c r="I1814" s="7" t="str">
        <f t="array" ref="I1814">IF(ISBLANK(F1814), "", INDEX(Categories!$B:$B,MATCH(F1814,Categories!$A:$A,0)))</f>
        <v/>
      </c>
      <c r="J1814" s="4"/>
      <c r="K1814" s="4"/>
      <c r="L1814" s="4"/>
      <c r="M1814" s="4"/>
      <c r="N1814" s="4"/>
      <c r="O1814" s="4"/>
      <c r="P1814" s="4"/>
      <c r="Q1814" s="4"/>
    </row>
    <row r="1815">
      <c r="A1815" s="5">
        <v>1814.0</v>
      </c>
      <c r="B1815" s="5" t="s">
        <v>2272</v>
      </c>
      <c r="C1815" s="5" t="s">
        <v>1275</v>
      </c>
      <c r="D1815" s="6">
        <f>IFERROR(__xludf.DUMMYFUNCTION("SPLIT(MID(C1815,2,LEN(C1815)-2), "","")"),906.0)</f>
        <v>906</v>
      </c>
      <c r="E1815" s="7"/>
      <c r="F1815" s="7"/>
      <c r="G1815" s="2" t="str">
        <f t="array" ref="G1815">IF(ISBLANK(D1815), "", INDEX(Categories!$B:$B,MATCH(D1815,Categories!$A:$A,0)))</f>
        <v>Computer Technical Assistance &amp; Support Services</v>
      </c>
      <c r="H1815" s="7" t="str">
        <f t="array" ref="H1815">IF(ISBLANK(E1815), "", INDEX(Categories!$B:$B,MATCH(E1815,Categories!$A:$A,0)))</f>
        <v/>
      </c>
      <c r="I1815" s="7" t="str">
        <f t="array" ref="I1815">IF(ISBLANK(F1815), "", INDEX(Categories!$B:$B,MATCH(F1815,Categories!$A:$A,0)))</f>
        <v/>
      </c>
      <c r="J1815" s="4"/>
      <c r="K1815" s="4"/>
      <c r="L1815" s="4"/>
      <c r="M1815" s="4"/>
      <c r="N1815" s="4"/>
      <c r="O1815" s="4"/>
      <c r="P1815" s="4"/>
      <c r="Q1815" s="4"/>
    </row>
    <row r="1816">
      <c r="A1816" s="5">
        <v>1815.0</v>
      </c>
      <c r="B1816" s="5" t="s">
        <v>2273</v>
      </c>
      <c r="C1816" s="5" t="s">
        <v>2274</v>
      </c>
      <c r="D1816" s="6">
        <f>IFERROR(__xludf.DUMMYFUNCTION("SPLIT(MID(C1816,2,LEN(C1816)-2), "","")"),106.0)</f>
        <v>106</v>
      </c>
      <c r="E1816" s="7"/>
      <c r="F1816" s="7"/>
      <c r="G1816" s="2" t="str">
        <f t="array" ref="G1816">IF(ISBLANK(D1816), "", INDEX(Categories!$B:$B,MATCH(D1816,Categories!$A:$A,0)))</f>
        <v>Motorcycles &amp; Motor Scooters</v>
      </c>
      <c r="H1816" s="7" t="str">
        <f t="array" ref="H1816">IF(ISBLANK(E1816), "", INDEX(Categories!$B:$B,MATCH(E1816,Categories!$A:$A,0)))</f>
        <v/>
      </c>
      <c r="I1816" s="7" t="str">
        <f t="array" ref="I1816">IF(ISBLANK(F1816), "", INDEX(Categories!$B:$B,MATCH(F1816,Categories!$A:$A,0)))</f>
        <v/>
      </c>
      <c r="J1816" s="4"/>
      <c r="K1816" s="4"/>
      <c r="L1816" s="4"/>
      <c r="M1816" s="4"/>
      <c r="N1816" s="4"/>
      <c r="O1816" s="4"/>
      <c r="P1816" s="4"/>
      <c r="Q1816" s="4"/>
    </row>
    <row r="1817">
      <c r="A1817" s="5">
        <v>1816.0</v>
      </c>
      <c r="B1817" s="5" t="s">
        <v>2275</v>
      </c>
      <c r="C1817" s="5" t="s">
        <v>157</v>
      </c>
      <c r="D1817" s="6">
        <f>IFERROR(__xludf.DUMMYFUNCTION("SPLIT(MID(C1817,2,LEN(C1817)-2), "","")"),195.0)</f>
        <v>195</v>
      </c>
      <c r="E1817" s="7"/>
      <c r="F1817" s="7"/>
      <c r="G1817" s="2" t="str">
        <f t="array" ref="G1817">IF(ISBLANK(D1817), "", INDEX(Categories!$B:$B,MATCH(D1817,Categories!$A:$A,0)))</f>
        <v>Child Care Centers &amp; Services</v>
      </c>
      <c r="H1817" s="7" t="str">
        <f t="array" ref="H1817">IF(ISBLANK(E1817), "", INDEX(Categories!$B:$B,MATCH(E1817,Categories!$A:$A,0)))</f>
        <v/>
      </c>
      <c r="I1817" s="7" t="str">
        <f t="array" ref="I1817">IF(ISBLANK(F1817), "", INDEX(Categories!$B:$B,MATCH(F1817,Categories!$A:$A,0)))</f>
        <v/>
      </c>
      <c r="J1817" s="4"/>
      <c r="K1817" s="4"/>
      <c r="L1817" s="4"/>
      <c r="M1817" s="4"/>
      <c r="N1817" s="4"/>
      <c r="O1817" s="4"/>
      <c r="P1817" s="4"/>
      <c r="Q1817" s="4"/>
    </row>
    <row r="1818">
      <c r="A1818" s="5">
        <v>1817.0</v>
      </c>
      <c r="B1818" s="5" t="s">
        <v>2276</v>
      </c>
      <c r="C1818" s="5" t="s">
        <v>562</v>
      </c>
      <c r="D1818" s="6">
        <f>IFERROR(__xludf.DUMMYFUNCTION("SPLIT(MID(C1818,2,LEN(C1818)-2), "","")"),162.0)</f>
        <v>162</v>
      </c>
      <c r="E1818" s="7"/>
      <c r="F1818" s="7"/>
      <c r="G1818" s="2" t="str">
        <f t="array" ref="G1818">IF(ISBLANK(D1818), "", INDEX(Categories!$B:$B,MATCH(D1818,Categories!$A:$A,0)))</f>
        <v>Hotels, Motels, &amp; Lodging</v>
      </c>
      <c r="H1818" s="7" t="str">
        <f t="array" ref="H1818">IF(ISBLANK(E1818), "", INDEX(Categories!$B:$B,MATCH(E1818,Categories!$A:$A,0)))</f>
        <v/>
      </c>
      <c r="I1818" s="7" t="str">
        <f t="array" ref="I1818">IF(ISBLANK(F1818), "", INDEX(Categories!$B:$B,MATCH(F1818,Categories!$A:$A,0)))</f>
        <v/>
      </c>
      <c r="J1818" s="4"/>
      <c r="K1818" s="4"/>
      <c r="L1818" s="4"/>
      <c r="M1818" s="4"/>
      <c r="N1818" s="4"/>
      <c r="O1818" s="4"/>
      <c r="P1818" s="4"/>
      <c r="Q1818" s="4"/>
    </row>
    <row r="1819">
      <c r="A1819" s="5">
        <v>1818.0</v>
      </c>
      <c r="B1819" s="5" t="s">
        <v>2277</v>
      </c>
      <c r="C1819" s="5" t="s">
        <v>69</v>
      </c>
      <c r="D1819" s="6">
        <f>IFERROR(__xludf.DUMMYFUNCTION("SPLIT(MID(C1819,2,LEN(C1819)-2), "","")"),293.0)</f>
        <v>293</v>
      </c>
      <c r="E1819" s="7"/>
      <c r="F1819" s="7"/>
      <c r="G1819" s="2" t="str">
        <f t="array" ref="G1819">IF(ISBLANK(D1819), "", INDEX(Categories!$B:$B,MATCH(D1819,Categories!$A:$A,0)))</f>
        <v>Banks Commercial</v>
      </c>
      <c r="H1819" s="7" t="str">
        <f t="array" ref="H1819">IF(ISBLANK(E1819), "", INDEX(Categories!$B:$B,MATCH(E1819,Categories!$A:$A,0)))</f>
        <v/>
      </c>
      <c r="I1819" s="7" t="str">
        <f t="array" ref="I1819">IF(ISBLANK(F1819), "", INDEX(Categories!$B:$B,MATCH(F1819,Categories!$A:$A,0)))</f>
        <v/>
      </c>
      <c r="J1819" s="4"/>
      <c r="K1819" s="4"/>
      <c r="L1819" s="4"/>
      <c r="M1819" s="4"/>
      <c r="N1819" s="4"/>
      <c r="O1819" s="4"/>
      <c r="P1819" s="4"/>
      <c r="Q1819" s="4"/>
    </row>
    <row r="1820">
      <c r="A1820" s="5">
        <v>1819.0</v>
      </c>
      <c r="B1820" s="5" t="s">
        <v>2278</v>
      </c>
      <c r="C1820" s="5" t="s">
        <v>473</v>
      </c>
      <c r="D1820" s="6">
        <f>IFERROR(__xludf.DUMMYFUNCTION("SPLIT(MID(C1820,2,LEN(C1820)-2), "","")"),1965.0)</f>
        <v>1965</v>
      </c>
      <c r="E1820" s="7"/>
      <c r="F1820" s="7"/>
      <c r="G1820" s="2" t="str">
        <f t="array" ref="G1820">IF(ISBLANK(D1820), "", INDEX(Categories!$B:$B,MATCH(D1820,Categories!$A:$A,0)))</f>
        <v>Electronics - Dealers</v>
      </c>
      <c r="H1820" s="7" t="str">
        <f t="array" ref="H1820">IF(ISBLANK(E1820), "", INDEX(Categories!$B:$B,MATCH(E1820,Categories!$A:$A,0)))</f>
        <v/>
      </c>
      <c r="I1820" s="7" t="str">
        <f t="array" ref="I1820">IF(ISBLANK(F1820), "", INDEX(Categories!$B:$B,MATCH(F1820,Categories!$A:$A,0)))</f>
        <v/>
      </c>
      <c r="J1820" s="4"/>
      <c r="K1820" s="4"/>
      <c r="L1820" s="4"/>
      <c r="M1820" s="4"/>
      <c r="N1820" s="4"/>
      <c r="O1820" s="4"/>
      <c r="P1820" s="4"/>
      <c r="Q1820" s="4"/>
    </row>
    <row r="1821">
      <c r="A1821" s="5">
        <v>1820.0</v>
      </c>
      <c r="B1821" s="5" t="s">
        <v>2279</v>
      </c>
      <c r="C1821" s="5" t="s">
        <v>1600</v>
      </c>
      <c r="D1821" s="6">
        <f>IFERROR(__xludf.DUMMYFUNCTION("SPLIT(MID(C1821,2,LEN(C1821)-2), "","")"),2595.0)</f>
        <v>2595</v>
      </c>
      <c r="E1821" s="7"/>
      <c r="F1821" s="7"/>
      <c r="G1821" s="2" t="str">
        <f t="array" ref="G1821">IF(ISBLANK(D1821), "", INDEX(Categories!$B:$B,MATCH(D1821,Categories!$A:$A,0)))</f>
        <v>Health &amp; Fitness Clubs</v>
      </c>
      <c r="H1821" s="7" t="str">
        <f t="array" ref="H1821">IF(ISBLANK(E1821), "", INDEX(Categories!$B:$B,MATCH(E1821,Categories!$A:$A,0)))</f>
        <v/>
      </c>
      <c r="I1821" s="7" t="str">
        <f t="array" ref="I1821">IF(ISBLANK(F1821), "", INDEX(Categories!$B:$B,MATCH(F1821,Categories!$A:$A,0)))</f>
        <v/>
      </c>
      <c r="J1821" s="4"/>
      <c r="K1821" s="4"/>
      <c r="L1821" s="4"/>
      <c r="M1821" s="4"/>
      <c r="N1821" s="4"/>
      <c r="O1821" s="4"/>
      <c r="P1821" s="4"/>
      <c r="Q1821" s="4"/>
    </row>
    <row r="1822">
      <c r="A1822" s="5">
        <v>1821.0</v>
      </c>
      <c r="B1822" s="5" t="s">
        <v>2280</v>
      </c>
      <c r="C1822" s="5" t="s">
        <v>1209</v>
      </c>
      <c r="D1822" s="6">
        <f>IFERROR(__xludf.DUMMYFUNCTION("SPLIT(MID(C1822,2,LEN(C1822)-2), "","")"),141.0)</f>
        <v>141</v>
      </c>
      <c r="E1822" s="7"/>
      <c r="F1822" s="7"/>
      <c r="G1822" s="2" t="str">
        <f t="array" ref="G1822">IF(ISBLANK(D1822), "", INDEX(Categories!$B:$B,MATCH(D1822,Categories!$A:$A,0)))</f>
        <v>Veterinarians</v>
      </c>
      <c r="H1822" s="7" t="str">
        <f t="array" ref="H1822">IF(ISBLANK(E1822), "", INDEX(Categories!$B:$B,MATCH(E1822,Categories!$A:$A,0)))</f>
        <v/>
      </c>
      <c r="I1822" s="7" t="str">
        <f t="array" ref="I1822">IF(ISBLANK(F1822), "", INDEX(Categories!$B:$B,MATCH(F1822,Categories!$A:$A,0)))</f>
        <v/>
      </c>
      <c r="J1822" s="4"/>
      <c r="K1822" s="4"/>
      <c r="L1822" s="4"/>
      <c r="M1822" s="4"/>
      <c r="N1822" s="4"/>
      <c r="O1822" s="4"/>
      <c r="P1822" s="4"/>
      <c r="Q1822" s="4"/>
    </row>
    <row r="1823">
      <c r="A1823" s="5">
        <v>1822.0</v>
      </c>
      <c r="B1823" s="5" t="s">
        <v>2281</v>
      </c>
      <c r="C1823" s="5" t="s">
        <v>2282</v>
      </c>
      <c r="D1823" s="6">
        <f>IFERROR(__xludf.DUMMYFUNCTION("SPLIT(MID(C1823,2,LEN(C1823)-2), "","")"),2341.0)</f>
        <v>2341</v>
      </c>
      <c r="E1823" s="7"/>
      <c r="F1823" s="7"/>
      <c r="G1823" s="2" t="str">
        <f t="array" ref="G1823">IF(ISBLANK(D1823), "", INDEX(Categories!$B:$B,MATCH(D1823,Categories!$A:$A,0)))</f>
        <v>Marine Equipment &amp; Supplies</v>
      </c>
      <c r="H1823" s="7" t="str">
        <f t="array" ref="H1823">IF(ISBLANK(E1823), "", INDEX(Categories!$B:$B,MATCH(E1823,Categories!$A:$A,0)))</f>
        <v/>
      </c>
      <c r="I1823" s="7" t="str">
        <f t="array" ref="I1823">IF(ISBLANK(F1823), "", INDEX(Categories!$B:$B,MATCH(F1823,Categories!$A:$A,0)))</f>
        <v/>
      </c>
      <c r="J1823" s="4"/>
      <c r="K1823" s="4"/>
      <c r="L1823" s="4"/>
      <c r="M1823" s="4"/>
      <c r="N1823" s="4"/>
      <c r="O1823" s="4"/>
      <c r="P1823" s="4"/>
      <c r="Q1823" s="4"/>
    </row>
    <row r="1824">
      <c r="A1824" s="5">
        <v>1823.0</v>
      </c>
      <c r="B1824" s="5" t="s">
        <v>2283</v>
      </c>
      <c r="C1824" s="5" t="s">
        <v>139</v>
      </c>
      <c r="D1824" s="6">
        <f>IFERROR(__xludf.DUMMYFUNCTION("SPLIT(MID(C1824,2,LEN(C1824)-2), "","")"),1617.0)</f>
        <v>1617</v>
      </c>
      <c r="E1824" s="7"/>
      <c r="F1824" s="7"/>
      <c r="G1824" s="2" t="str">
        <f t="array" ref="G1824">IF(ISBLANK(D1824), "", INDEX(Categories!$B:$B,MATCH(D1824,Categories!$A:$A,0)))</f>
        <v>Department Stores</v>
      </c>
      <c r="H1824" s="7" t="str">
        <f t="array" ref="H1824">IF(ISBLANK(E1824), "", INDEX(Categories!$B:$B,MATCH(E1824,Categories!$A:$A,0)))</f>
        <v/>
      </c>
      <c r="I1824" s="7" t="str">
        <f t="array" ref="I1824">IF(ISBLANK(F1824), "", INDEX(Categories!$B:$B,MATCH(F1824,Categories!$A:$A,0)))</f>
        <v/>
      </c>
      <c r="J1824" s="4"/>
      <c r="K1824" s="4"/>
      <c r="L1824" s="4"/>
      <c r="M1824" s="4"/>
      <c r="N1824" s="4"/>
      <c r="O1824" s="4"/>
      <c r="P1824" s="4"/>
      <c r="Q1824" s="4"/>
    </row>
    <row r="1825">
      <c r="A1825" s="5">
        <v>1824.0</v>
      </c>
      <c r="B1825" s="5" t="s">
        <v>2284</v>
      </c>
      <c r="C1825" s="5" t="s">
        <v>161</v>
      </c>
      <c r="D1825" s="6">
        <f>IFERROR(__xludf.DUMMYFUNCTION("SPLIT(MID(C1825,2,LEN(C1825)-2), "","")"),1835.0)</f>
        <v>1835</v>
      </c>
      <c r="E1825" s="7"/>
      <c r="F1825" s="7"/>
      <c r="G1825" s="2" t="str">
        <f t="array" ref="G1825">IF(ISBLANK(D1825), "", INDEX(Categories!$B:$B,MATCH(D1825,Categories!$A:$A,0)))</f>
        <v>Optical Goods</v>
      </c>
      <c r="H1825" s="7" t="str">
        <f t="array" ref="H1825">IF(ISBLANK(E1825), "", INDEX(Categories!$B:$B,MATCH(E1825,Categories!$A:$A,0)))</f>
        <v/>
      </c>
      <c r="I1825" s="7" t="str">
        <f t="array" ref="I1825">IF(ISBLANK(F1825), "", INDEX(Categories!$B:$B,MATCH(F1825,Categories!$A:$A,0)))</f>
        <v/>
      </c>
      <c r="J1825" s="4"/>
      <c r="K1825" s="4"/>
      <c r="L1825" s="4"/>
      <c r="M1825" s="4"/>
      <c r="N1825" s="4"/>
      <c r="O1825" s="4"/>
      <c r="P1825" s="4"/>
      <c r="Q1825" s="4"/>
    </row>
    <row r="1826">
      <c r="A1826" s="5">
        <v>1825.0</v>
      </c>
      <c r="B1826" s="5" t="s">
        <v>2285</v>
      </c>
      <c r="C1826" s="5" t="s">
        <v>2286</v>
      </c>
      <c r="D1826" s="6">
        <f>IFERROR(__xludf.DUMMYFUNCTION("SPLIT(MID(C1826,2,LEN(C1826)-2), "","")"),80.0)</f>
        <v>80</v>
      </c>
      <c r="E1826" s="7"/>
      <c r="F1826" s="7"/>
      <c r="G1826" s="2" t="str">
        <f t="array" ref="G1826">IF(ISBLANK(D1826), "", INDEX(Categories!$B:$B,MATCH(D1826,Categories!$A:$A,0)))</f>
        <v>Dentists</v>
      </c>
      <c r="H1826" s="7" t="str">
        <f t="array" ref="H1826">IF(ISBLANK(E1826), "", INDEX(Categories!$B:$B,MATCH(E1826,Categories!$A:$A,0)))</f>
        <v/>
      </c>
      <c r="I1826" s="7" t="str">
        <f t="array" ref="I1826">IF(ISBLANK(F1826), "", INDEX(Categories!$B:$B,MATCH(F1826,Categories!$A:$A,0)))</f>
        <v/>
      </c>
      <c r="J1826" s="4"/>
      <c r="K1826" s="4"/>
      <c r="L1826" s="4"/>
      <c r="M1826" s="4"/>
      <c r="N1826" s="4"/>
      <c r="O1826" s="4"/>
      <c r="P1826" s="4"/>
      <c r="Q1826" s="4"/>
    </row>
    <row r="1827">
      <c r="A1827" s="5">
        <v>1826.0</v>
      </c>
      <c r="B1827" s="5" t="s">
        <v>2287</v>
      </c>
      <c r="C1827" s="5" t="s">
        <v>303</v>
      </c>
      <c r="D1827" s="6">
        <f>IFERROR(__xludf.DUMMYFUNCTION("SPLIT(MID(C1827,2,LEN(C1827)-2), "","")"),1241.0)</f>
        <v>1241</v>
      </c>
      <c r="E1827" s="7"/>
      <c r="F1827" s="7"/>
      <c r="G1827" s="2" t="str">
        <f t="array" ref="G1827">IF(ISBLANK(D1827), "", INDEX(Categories!$B:$B,MATCH(D1827,Categories!$A:$A,0)))</f>
        <v>Clothing &amp; Accessories</v>
      </c>
      <c r="H1827" s="7" t="str">
        <f t="array" ref="H1827">IF(ISBLANK(E1827), "", INDEX(Categories!$B:$B,MATCH(E1827,Categories!$A:$A,0)))</f>
        <v/>
      </c>
      <c r="I1827" s="7" t="str">
        <f t="array" ref="I1827">IF(ISBLANK(F1827), "", INDEX(Categories!$B:$B,MATCH(F1827,Categories!$A:$A,0)))</f>
        <v/>
      </c>
      <c r="J1827" s="4"/>
      <c r="K1827" s="4"/>
      <c r="L1827" s="4"/>
      <c r="M1827" s="4"/>
      <c r="N1827" s="4"/>
      <c r="O1827" s="4"/>
      <c r="P1827" s="4"/>
      <c r="Q1827" s="4"/>
    </row>
    <row r="1828">
      <c r="A1828" s="5">
        <v>1827.0</v>
      </c>
      <c r="B1828" s="5" t="s">
        <v>2288</v>
      </c>
      <c r="C1828" s="5" t="s">
        <v>87</v>
      </c>
      <c r="D1828" s="6">
        <f>IFERROR(__xludf.DUMMYFUNCTION("SPLIT(MID(C1828,2,LEN(C1828)-2), "","")"),168.0)</f>
        <v>168</v>
      </c>
      <c r="E1828" s="7"/>
      <c r="F1828" s="7"/>
      <c r="G1828" s="2" t="str">
        <f t="array" ref="G1828">IF(ISBLANK(D1828), "", INDEX(Categories!$B:$B,MATCH(D1828,Categories!$A:$A,0)))</f>
        <v>Hotels &amp; Motels</v>
      </c>
      <c r="H1828" s="7" t="str">
        <f t="array" ref="H1828">IF(ISBLANK(E1828), "", INDEX(Categories!$B:$B,MATCH(E1828,Categories!$A:$A,0)))</f>
        <v/>
      </c>
      <c r="I1828" s="7" t="str">
        <f t="array" ref="I1828">IF(ISBLANK(F1828), "", INDEX(Categories!$B:$B,MATCH(F1828,Categories!$A:$A,0)))</f>
        <v/>
      </c>
      <c r="J1828" s="4"/>
      <c r="K1828" s="4"/>
      <c r="L1828" s="4"/>
      <c r="M1828" s="4"/>
      <c r="N1828" s="4"/>
      <c r="O1828" s="4"/>
      <c r="P1828" s="4"/>
      <c r="Q1828" s="4"/>
    </row>
    <row r="1829">
      <c r="A1829" s="5">
        <v>1828.0</v>
      </c>
      <c r="B1829" s="5" t="s">
        <v>2289</v>
      </c>
      <c r="C1829" s="5" t="s">
        <v>109</v>
      </c>
      <c r="D1829" s="6">
        <f>IFERROR(__xludf.DUMMYFUNCTION("SPLIT(MID(C1829,2,LEN(C1829)-2), "","")"),741.0)</f>
        <v>741</v>
      </c>
      <c r="E1829" s="7"/>
      <c r="F1829" s="7"/>
      <c r="G1829" s="2" t="str">
        <f t="array" ref="G1829">IF(ISBLANK(D1829), "", INDEX(Categories!$B:$B,MATCH(D1829,Categories!$A:$A,0)))</f>
        <v>Shoes</v>
      </c>
      <c r="H1829" s="7" t="str">
        <f t="array" ref="H1829">IF(ISBLANK(E1829), "", INDEX(Categories!$B:$B,MATCH(E1829,Categories!$A:$A,0)))</f>
        <v/>
      </c>
      <c r="I1829" s="7" t="str">
        <f t="array" ref="I1829">IF(ISBLANK(F1829), "", INDEX(Categories!$B:$B,MATCH(F1829,Categories!$A:$A,0)))</f>
        <v/>
      </c>
      <c r="J1829" s="4"/>
      <c r="K1829" s="4"/>
      <c r="L1829" s="4"/>
      <c r="M1829" s="4"/>
      <c r="N1829" s="4"/>
      <c r="O1829" s="4"/>
      <c r="P1829" s="4"/>
      <c r="Q1829" s="4"/>
    </row>
    <row r="1830">
      <c r="A1830" s="5">
        <v>1829.0</v>
      </c>
      <c r="B1830" s="5" t="s">
        <v>2290</v>
      </c>
      <c r="C1830" s="5" t="s">
        <v>2291</v>
      </c>
      <c r="D1830" s="6">
        <f>IFERROR(__xludf.DUMMYFUNCTION("SPLIT(MID(C1830,2,LEN(C1830)-2), "","")"),367.0)</f>
        <v>367</v>
      </c>
      <c r="E1830" s="7"/>
      <c r="F1830" s="7"/>
      <c r="G1830" s="2" t="str">
        <f t="array" ref="G1830">IF(ISBLANK(D1830), "", INDEX(Categories!$B:$B,MATCH(D1830,Categories!$A:$A,0)))</f>
        <v>Beauty Salons &amp; Day Spas</v>
      </c>
      <c r="H1830" s="7" t="str">
        <f t="array" ref="H1830">IF(ISBLANK(E1830), "", INDEX(Categories!$B:$B,MATCH(E1830,Categories!$A:$A,0)))</f>
        <v/>
      </c>
      <c r="I1830" s="7" t="str">
        <f t="array" ref="I1830">IF(ISBLANK(F1830), "", INDEX(Categories!$B:$B,MATCH(F1830,Categories!$A:$A,0)))</f>
        <v/>
      </c>
      <c r="J1830" s="4"/>
      <c r="K1830" s="4"/>
      <c r="L1830" s="4"/>
      <c r="M1830" s="4"/>
      <c r="N1830" s="4"/>
      <c r="O1830" s="4"/>
      <c r="P1830" s="4"/>
      <c r="Q1830" s="4"/>
    </row>
    <row r="1831">
      <c r="A1831" s="5">
        <v>1830.0</v>
      </c>
      <c r="B1831" s="5" t="s">
        <v>2292</v>
      </c>
      <c r="C1831" s="5" t="s">
        <v>760</v>
      </c>
      <c r="D1831" s="6">
        <f>IFERROR(__xludf.DUMMYFUNCTION("SPLIT(MID(C1831,2,LEN(C1831)-2), "","")"),1246.0)</f>
        <v>1246</v>
      </c>
      <c r="E1831" s="7"/>
      <c r="F1831" s="7"/>
      <c r="G1831" s="2" t="str">
        <f t="array" ref="G1831">IF(ISBLANK(D1831), "", INDEX(Categories!$B:$B,MATCH(D1831,Categories!$A:$A,0)))</f>
        <v>Clothing</v>
      </c>
      <c r="H1831" s="7" t="str">
        <f t="array" ref="H1831">IF(ISBLANK(E1831), "", INDEX(Categories!$B:$B,MATCH(E1831,Categories!$A:$A,0)))</f>
        <v/>
      </c>
      <c r="I1831" s="7" t="str">
        <f t="array" ref="I1831">IF(ISBLANK(F1831), "", INDEX(Categories!$B:$B,MATCH(F1831,Categories!$A:$A,0)))</f>
        <v/>
      </c>
      <c r="J1831" s="4"/>
      <c r="K1831" s="4"/>
      <c r="L1831" s="4"/>
      <c r="M1831" s="4"/>
      <c r="N1831" s="4"/>
      <c r="O1831" s="4"/>
      <c r="P1831" s="4"/>
      <c r="Q1831" s="4"/>
    </row>
    <row r="1832">
      <c r="A1832" s="5">
        <v>1831.0</v>
      </c>
      <c r="B1832" s="5" t="s">
        <v>2293</v>
      </c>
      <c r="C1832" s="5" t="s">
        <v>157</v>
      </c>
      <c r="D1832" s="6">
        <f>IFERROR(__xludf.DUMMYFUNCTION("SPLIT(MID(C1832,2,LEN(C1832)-2), "","")"),195.0)</f>
        <v>195</v>
      </c>
      <c r="E1832" s="7"/>
      <c r="F1832" s="7"/>
      <c r="G1832" s="2" t="str">
        <f t="array" ref="G1832">IF(ISBLANK(D1832), "", INDEX(Categories!$B:$B,MATCH(D1832,Categories!$A:$A,0)))</f>
        <v>Child Care Centers &amp; Services</v>
      </c>
      <c r="H1832" s="7" t="str">
        <f t="array" ref="H1832">IF(ISBLANK(E1832), "", INDEX(Categories!$B:$B,MATCH(E1832,Categories!$A:$A,0)))</f>
        <v/>
      </c>
      <c r="I1832" s="7" t="str">
        <f t="array" ref="I1832">IF(ISBLANK(F1832), "", INDEX(Categories!$B:$B,MATCH(F1832,Categories!$A:$A,0)))</f>
        <v/>
      </c>
      <c r="J1832" s="4"/>
      <c r="K1832" s="4"/>
      <c r="L1832" s="4"/>
      <c r="M1832" s="4"/>
      <c r="N1832" s="4"/>
      <c r="O1832" s="4"/>
      <c r="P1832" s="4"/>
      <c r="Q1832" s="4"/>
    </row>
    <row r="1833">
      <c r="A1833" s="5">
        <v>1832.0</v>
      </c>
      <c r="B1833" s="5" t="s">
        <v>2294</v>
      </c>
      <c r="C1833" s="5" t="s">
        <v>87</v>
      </c>
      <c r="D1833" s="6">
        <f>IFERROR(__xludf.DUMMYFUNCTION("SPLIT(MID(C1833,2,LEN(C1833)-2), "","")"),168.0)</f>
        <v>168</v>
      </c>
      <c r="E1833" s="7"/>
      <c r="F1833" s="7"/>
      <c r="G1833" s="2" t="str">
        <f t="array" ref="G1833">IF(ISBLANK(D1833), "", INDEX(Categories!$B:$B,MATCH(D1833,Categories!$A:$A,0)))</f>
        <v>Hotels &amp; Motels</v>
      </c>
      <c r="H1833" s="7" t="str">
        <f t="array" ref="H1833">IF(ISBLANK(E1833), "", INDEX(Categories!$B:$B,MATCH(E1833,Categories!$A:$A,0)))</f>
        <v/>
      </c>
      <c r="I1833" s="7" t="str">
        <f t="array" ref="I1833">IF(ISBLANK(F1833), "", INDEX(Categories!$B:$B,MATCH(F1833,Categories!$A:$A,0)))</f>
        <v/>
      </c>
      <c r="J1833" s="4"/>
      <c r="K1833" s="4"/>
      <c r="L1833" s="4"/>
      <c r="M1833" s="4"/>
      <c r="N1833" s="4"/>
      <c r="O1833" s="4"/>
      <c r="P1833" s="4"/>
      <c r="Q1833" s="4"/>
    </row>
    <row r="1834">
      <c r="A1834" s="5">
        <v>1833.0</v>
      </c>
      <c r="B1834" s="5" t="s">
        <v>2295</v>
      </c>
      <c r="C1834" s="5" t="s">
        <v>2296</v>
      </c>
      <c r="D1834" s="6">
        <f>IFERROR(__xludf.DUMMYFUNCTION("SPLIT(MID(C1834,2,LEN(C1834)-2), "","")"),1113.0)</f>
        <v>1113</v>
      </c>
      <c r="E1834" s="7"/>
      <c r="F1834" s="7"/>
      <c r="G1834" s="2" t="str">
        <f t="array" ref="G1834">IF(ISBLANK(D1834), "", INDEX(Categories!$B:$B,MATCH(D1834,Categories!$A:$A,0)))</f>
        <v>Resorts</v>
      </c>
      <c r="H1834" s="7" t="str">
        <f t="array" ref="H1834">IF(ISBLANK(E1834), "", INDEX(Categories!$B:$B,MATCH(E1834,Categories!$A:$A,0)))</f>
        <v/>
      </c>
      <c r="I1834" s="7" t="str">
        <f t="array" ref="I1834">IF(ISBLANK(F1834), "", INDEX(Categories!$B:$B,MATCH(F1834,Categories!$A:$A,0)))</f>
        <v/>
      </c>
      <c r="J1834" s="4"/>
      <c r="K1834" s="4"/>
      <c r="L1834" s="4"/>
      <c r="M1834" s="4"/>
      <c r="N1834" s="4"/>
      <c r="O1834" s="4"/>
      <c r="P1834" s="4"/>
      <c r="Q1834" s="4"/>
    </row>
    <row r="1835">
      <c r="A1835" s="5">
        <v>1834.0</v>
      </c>
      <c r="B1835" s="5" t="s">
        <v>2297</v>
      </c>
      <c r="C1835" s="5" t="s">
        <v>2296</v>
      </c>
      <c r="D1835" s="6">
        <f>IFERROR(__xludf.DUMMYFUNCTION("SPLIT(MID(C1835,2,LEN(C1835)-2), "","")"),1113.0)</f>
        <v>1113</v>
      </c>
      <c r="E1835" s="7"/>
      <c r="F1835" s="7"/>
      <c r="G1835" s="2" t="str">
        <f t="array" ref="G1835">IF(ISBLANK(D1835), "", INDEX(Categories!$B:$B,MATCH(D1835,Categories!$A:$A,0)))</f>
        <v>Resorts</v>
      </c>
      <c r="H1835" s="7" t="str">
        <f t="array" ref="H1835">IF(ISBLANK(E1835), "", INDEX(Categories!$B:$B,MATCH(E1835,Categories!$A:$A,0)))</f>
        <v/>
      </c>
      <c r="I1835" s="7" t="str">
        <f t="array" ref="I1835">IF(ISBLANK(F1835), "", INDEX(Categories!$B:$B,MATCH(F1835,Categories!$A:$A,0)))</f>
        <v/>
      </c>
      <c r="J1835" s="4"/>
      <c r="K1835" s="4"/>
      <c r="L1835" s="4"/>
      <c r="M1835" s="4"/>
      <c r="N1835" s="4"/>
      <c r="O1835" s="4"/>
      <c r="P1835" s="4"/>
      <c r="Q1835" s="4"/>
    </row>
    <row r="1836">
      <c r="A1836" s="5">
        <v>1835.0</v>
      </c>
      <c r="B1836" s="5" t="s">
        <v>2298</v>
      </c>
      <c r="C1836" s="5" t="s">
        <v>87</v>
      </c>
      <c r="D1836" s="6">
        <f>IFERROR(__xludf.DUMMYFUNCTION("SPLIT(MID(C1836,2,LEN(C1836)-2), "","")"),168.0)</f>
        <v>168</v>
      </c>
      <c r="E1836" s="7"/>
      <c r="F1836" s="7"/>
      <c r="G1836" s="2" t="str">
        <f t="array" ref="G1836">IF(ISBLANK(D1836), "", INDEX(Categories!$B:$B,MATCH(D1836,Categories!$A:$A,0)))</f>
        <v>Hotels &amp; Motels</v>
      </c>
      <c r="H1836" s="7" t="str">
        <f t="array" ref="H1836">IF(ISBLANK(E1836), "", INDEX(Categories!$B:$B,MATCH(E1836,Categories!$A:$A,0)))</f>
        <v/>
      </c>
      <c r="I1836" s="7" t="str">
        <f t="array" ref="I1836">IF(ISBLANK(F1836), "", INDEX(Categories!$B:$B,MATCH(F1836,Categories!$A:$A,0)))</f>
        <v/>
      </c>
      <c r="J1836" s="4"/>
      <c r="K1836" s="4"/>
      <c r="L1836" s="4"/>
      <c r="M1836" s="4"/>
      <c r="N1836" s="4"/>
      <c r="O1836" s="4"/>
      <c r="P1836" s="4"/>
      <c r="Q1836" s="4"/>
    </row>
    <row r="1837">
      <c r="A1837" s="5">
        <v>1836.0</v>
      </c>
      <c r="B1837" s="5" t="s">
        <v>2299</v>
      </c>
      <c r="C1837" s="5" t="s">
        <v>1126</v>
      </c>
      <c r="D1837" s="6">
        <f>IFERROR(__xludf.DUMMYFUNCTION("SPLIT(MID(C1837,2,LEN(C1837)-2), "","")"),1464.0)</f>
        <v>1464</v>
      </c>
      <c r="E1837" s="7"/>
      <c r="F1837" s="7"/>
      <c r="G1837" s="2" t="str">
        <f t="array" ref="G1837">IF(ISBLANK(D1837), "", INDEX(Categories!$B:$B,MATCH(D1837,Categories!$A:$A,0)))</f>
        <v>Video Games</v>
      </c>
      <c r="H1837" s="7" t="str">
        <f t="array" ref="H1837">IF(ISBLANK(E1837), "", INDEX(Categories!$B:$B,MATCH(E1837,Categories!$A:$A,0)))</f>
        <v/>
      </c>
      <c r="I1837" s="7" t="str">
        <f t="array" ref="I1837">IF(ISBLANK(F1837), "", INDEX(Categories!$B:$B,MATCH(F1837,Categories!$A:$A,0)))</f>
        <v/>
      </c>
      <c r="J1837" s="4"/>
      <c r="K1837" s="4"/>
      <c r="L1837" s="4"/>
      <c r="M1837" s="4"/>
      <c r="N1837" s="4"/>
      <c r="O1837" s="4"/>
      <c r="P1837" s="4"/>
      <c r="Q1837" s="4"/>
    </row>
    <row r="1838">
      <c r="A1838" s="5">
        <v>1837.0</v>
      </c>
      <c r="B1838" s="5" t="s">
        <v>2300</v>
      </c>
      <c r="C1838" s="5" t="s">
        <v>1039</v>
      </c>
      <c r="D1838" s="6">
        <f>IFERROR(__xludf.DUMMYFUNCTION("SPLIT(MID(C1838,2,LEN(C1838)-2), "","")"),1252.0)</f>
        <v>1252</v>
      </c>
      <c r="E1838" s="7"/>
      <c r="F1838" s="7"/>
      <c r="G1838" s="2" t="str">
        <f t="array" ref="G1838">IF(ISBLANK(D1838), "", INDEX(Categories!$B:$B,MATCH(D1838,Categories!$A:$A,0)))</f>
        <v>Hats</v>
      </c>
      <c r="H1838" s="7" t="str">
        <f t="array" ref="H1838">IF(ISBLANK(E1838), "", INDEX(Categories!$B:$B,MATCH(E1838,Categories!$A:$A,0)))</f>
        <v/>
      </c>
      <c r="I1838" s="7" t="str">
        <f t="array" ref="I1838">IF(ISBLANK(F1838), "", INDEX(Categories!$B:$B,MATCH(F1838,Categories!$A:$A,0)))</f>
        <v/>
      </c>
      <c r="J1838" s="4"/>
      <c r="K1838" s="4"/>
      <c r="L1838" s="4"/>
      <c r="M1838" s="4"/>
      <c r="N1838" s="4"/>
      <c r="O1838" s="4"/>
      <c r="P1838" s="4"/>
      <c r="Q1838" s="4"/>
    </row>
    <row r="1839">
      <c r="A1839" s="5">
        <v>1838.0</v>
      </c>
      <c r="B1839" s="5" t="s">
        <v>2301</v>
      </c>
      <c r="C1839" s="5" t="s">
        <v>1039</v>
      </c>
      <c r="D1839" s="6">
        <f>IFERROR(__xludf.DUMMYFUNCTION("SPLIT(MID(C1839,2,LEN(C1839)-2), "","")"),1252.0)</f>
        <v>1252</v>
      </c>
      <c r="E1839" s="7"/>
      <c r="F1839" s="7"/>
      <c r="G1839" s="2" t="str">
        <f t="array" ref="G1839">IF(ISBLANK(D1839), "", INDEX(Categories!$B:$B,MATCH(D1839,Categories!$A:$A,0)))</f>
        <v>Hats</v>
      </c>
      <c r="H1839" s="7" t="str">
        <f t="array" ref="H1839">IF(ISBLANK(E1839), "", INDEX(Categories!$B:$B,MATCH(E1839,Categories!$A:$A,0)))</f>
        <v/>
      </c>
      <c r="I1839" s="7" t="str">
        <f t="array" ref="I1839">IF(ISBLANK(F1839), "", INDEX(Categories!$B:$B,MATCH(F1839,Categories!$A:$A,0)))</f>
        <v/>
      </c>
      <c r="J1839" s="4"/>
      <c r="K1839" s="4"/>
      <c r="L1839" s="4"/>
      <c r="M1839" s="4"/>
      <c r="N1839" s="4"/>
      <c r="O1839" s="4"/>
      <c r="P1839" s="4"/>
      <c r="Q1839" s="4"/>
    </row>
    <row r="1840">
      <c r="A1840" s="5">
        <v>1839.0</v>
      </c>
      <c r="B1840" s="5" t="s">
        <v>2302</v>
      </c>
      <c r="C1840" s="5" t="s">
        <v>1954</v>
      </c>
      <c r="D1840" s="6">
        <f>IFERROR(__xludf.DUMMYFUNCTION("SPLIT(MID(C1840,2,LEN(C1840)-2), "","")"),1265.0)</f>
        <v>1265</v>
      </c>
      <c r="E1840" s="7"/>
      <c r="F1840" s="7"/>
      <c r="G1840" s="2" t="str">
        <f t="array" ref="G1840">IF(ISBLANK(D1840), "", INDEX(Categories!$B:$B,MATCH(D1840,Categories!$A:$A,0)))</f>
        <v>Sportswear Retail</v>
      </c>
      <c r="H1840" s="7" t="str">
        <f t="array" ref="H1840">IF(ISBLANK(E1840), "", INDEX(Categories!$B:$B,MATCH(E1840,Categories!$A:$A,0)))</f>
        <v/>
      </c>
      <c r="I1840" s="7" t="str">
        <f t="array" ref="I1840">IF(ISBLANK(F1840), "", INDEX(Categories!$B:$B,MATCH(F1840,Categories!$A:$A,0)))</f>
        <v/>
      </c>
      <c r="J1840" s="4"/>
      <c r="K1840" s="4"/>
      <c r="L1840" s="4"/>
      <c r="M1840" s="4"/>
      <c r="N1840" s="4"/>
      <c r="O1840" s="4"/>
      <c r="P1840" s="4"/>
      <c r="Q1840" s="4"/>
    </row>
    <row r="1841">
      <c r="A1841" s="5">
        <v>1840.0</v>
      </c>
      <c r="B1841" s="5" t="s">
        <v>2303</v>
      </c>
      <c r="C1841" s="5" t="s">
        <v>1158</v>
      </c>
      <c r="D1841" s="6">
        <f>IFERROR(__xludf.DUMMYFUNCTION("SPLIT(MID(C1841,2,LEN(C1841)-2), "","")"),2815.0)</f>
        <v>2815</v>
      </c>
      <c r="E1841" s="7"/>
      <c r="F1841" s="7"/>
      <c r="G1841" s="2" t="str">
        <f t="array" ref="G1841">IF(ISBLANK(D1841), "", INDEX(Categories!$B:$B,MATCH(D1841,Categories!$A:$A,0)))</f>
        <v>Hospitals, Clinics &amp; Medical Centers</v>
      </c>
      <c r="H1841" s="7" t="str">
        <f t="array" ref="H1841">IF(ISBLANK(E1841), "", INDEX(Categories!$B:$B,MATCH(E1841,Categories!$A:$A,0)))</f>
        <v/>
      </c>
      <c r="I1841" s="7" t="str">
        <f t="array" ref="I1841">IF(ISBLANK(F1841), "", INDEX(Categories!$B:$B,MATCH(F1841,Categories!$A:$A,0)))</f>
        <v/>
      </c>
      <c r="J1841" s="4"/>
      <c r="K1841" s="4"/>
      <c r="L1841" s="4"/>
      <c r="M1841" s="4"/>
      <c r="N1841" s="4"/>
      <c r="O1841" s="4"/>
      <c r="P1841" s="4"/>
      <c r="Q1841" s="4"/>
    </row>
    <row r="1842">
      <c r="A1842" s="5">
        <v>1841.0</v>
      </c>
      <c r="B1842" s="5" t="s">
        <v>2304</v>
      </c>
      <c r="C1842" s="5" t="s">
        <v>18</v>
      </c>
      <c r="D1842" s="6">
        <f>IFERROR(__xludf.DUMMYFUNCTION("SPLIT(MID(C1842,2,LEN(C1842)-2), "","")"),121.0)</f>
        <v>121</v>
      </c>
      <c r="E1842" s="7"/>
      <c r="F1842" s="7"/>
      <c r="G1842" s="2" t="str">
        <f t="array" ref="G1842">IF(ISBLANK(D1842), "", INDEX(Categories!$B:$B,MATCH(D1842,Categories!$A:$A,0)))</f>
        <v>Insurance</v>
      </c>
      <c r="H1842" s="7" t="str">
        <f t="array" ref="H1842">IF(ISBLANK(E1842), "", INDEX(Categories!$B:$B,MATCH(E1842,Categories!$A:$A,0)))</f>
        <v/>
      </c>
      <c r="I1842" s="7" t="str">
        <f t="array" ref="I1842">IF(ISBLANK(F1842), "", INDEX(Categories!$B:$B,MATCH(F1842,Categories!$A:$A,0)))</f>
        <v/>
      </c>
      <c r="J1842" s="4"/>
      <c r="K1842" s="4"/>
      <c r="L1842" s="4"/>
      <c r="M1842" s="4"/>
      <c r="N1842" s="4"/>
      <c r="O1842" s="4"/>
      <c r="P1842" s="4"/>
      <c r="Q1842" s="4"/>
    </row>
    <row r="1843">
      <c r="A1843" s="5">
        <v>1842.0</v>
      </c>
      <c r="B1843" s="5" t="s">
        <v>2305</v>
      </c>
      <c r="C1843" s="5" t="s">
        <v>20</v>
      </c>
      <c r="D1843" s="6">
        <f>IFERROR(__xludf.DUMMYFUNCTION("SPLIT(MID(C1843,2,LEN(C1843)-2), "","")"),1213.0)</f>
        <v>1213</v>
      </c>
      <c r="E1843" s="7"/>
      <c r="F1843" s="7"/>
      <c r="G1843" s="2" t="str">
        <f t="array" ref="G1843">IF(ISBLANK(D1843), "", INDEX(Categories!$B:$B,MATCH(D1843,Categories!$A:$A,0)))</f>
        <v>Social Service Organizations</v>
      </c>
      <c r="H1843" s="7" t="str">
        <f t="array" ref="H1843">IF(ISBLANK(E1843), "", INDEX(Categories!$B:$B,MATCH(E1843,Categories!$A:$A,0)))</f>
        <v/>
      </c>
      <c r="I1843" s="7" t="str">
        <f t="array" ref="I1843">IF(ISBLANK(F1843), "", INDEX(Categories!$B:$B,MATCH(F1843,Categories!$A:$A,0)))</f>
        <v/>
      </c>
      <c r="J1843" s="4"/>
      <c r="K1843" s="4"/>
      <c r="L1843" s="4"/>
      <c r="M1843" s="4"/>
      <c r="N1843" s="4"/>
      <c r="O1843" s="4"/>
      <c r="P1843" s="4"/>
      <c r="Q1843" s="4"/>
    </row>
    <row r="1844">
      <c r="A1844" s="5">
        <v>1843.0</v>
      </c>
      <c r="B1844" s="5" t="s">
        <v>2306</v>
      </c>
      <c r="C1844" s="5" t="s">
        <v>1168</v>
      </c>
      <c r="D1844" s="6">
        <f>IFERROR(__xludf.DUMMYFUNCTION("SPLIT(MID(C1844,2,LEN(C1844)-2), "","")"),4.0)</f>
        <v>4</v>
      </c>
      <c r="E1844" s="7"/>
      <c r="F1844" s="7"/>
      <c r="G1844" s="2" t="str">
        <f t="array" ref="G1844">IF(ISBLANK(D1844), "", INDEX(Categories!$B:$B,MATCH(D1844,Categories!$A:$A,0)))</f>
        <v>Automobile Dealers Used Cars &amp; Vans</v>
      </c>
      <c r="H1844" s="7" t="str">
        <f t="array" ref="H1844">IF(ISBLANK(E1844), "", INDEX(Categories!$B:$B,MATCH(E1844,Categories!$A:$A,0)))</f>
        <v/>
      </c>
      <c r="I1844" s="7" t="str">
        <f t="array" ref="I1844">IF(ISBLANK(F1844), "", INDEX(Categories!$B:$B,MATCH(F1844,Categories!$A:$A,0)))</f>
        <v/>
      </c>
      <c r="J1844" s="4"/>
      <c r="K1844" s="4"/>
      <c r="L1844" s="4"/>
      <c r="M1844" s="4"/>
      <c r="N1844" s="4"/>
      <c r="O1844" s="4"/>
      <c r="P1844" s="4"/>
      <c r="Q1844" s="4"/>
    </row>
    <row r="1845">
      <c r="A1845" s="5">
        <v>1844.0</v>
      </c>
      <c r="B1845" s="5" t="s">
        <v>2307</v>
      </c>
      <c r="C1845" s="5" t="s">
        <v>921</v>
      </c>
      <c r="D1845" s="6">
        <f>IFERROR(__xludf.DUMMYFUNCTION("SPLIT(MID(C1845,2,LEN(C1845)-2), "","")"),1495.0)</f>
        <v>1495</v>
      </c>
      <c r="E1845" s="7"/>
      <c r="F1845" s="7"/>
      <c r="G1845" s="2" t="str">
        <f t="array" ref="G1845">IF(ISBLANK(D1845), "", INDEX(Categories!$B:$B,MATCH(D1845,Categories!$A:$A,0)))</f>
        <v>Payroll Services</v>
      </c>
      <c r="H1845" s="7" t="str">
        <f t="array" ref="H1845">IF(ISBLANK(E1845), "", INDEX(Categories!$B:$B,MATCH(E1845,Categories!$A:$A,0)))</f>
        <v/>
      </c>
      <c r="I1845" s="7" t="str">
        <f t="array" ref="I1845">IF(ISBLANK(F1845), "", INDEX(Categories!$B:$B,MATCH(F1845,Categories!$A:$A,0)))</f>
        <v/>
      </c>
      <c r="J1845" s="4"/>
      <c r="K1845" s="4"/>
      <c r="L1845" s="4"/>
      <c r="M1845" s="4"/>
      <c r="N1845" s="4"/>
      <c r="O1845" s="4"/>
      <c r="P1845" s="4"/>
      <c r="Q1845" s="4"/>
    </row>
    <row r="1846">
      <c r="A1846" s="5">
        <v>1845.0</v>
      </c>
      <c r="B1846" s="5" t="s">
        <v>2308</v>
      </c>
      <c r="C1846" s="5" t="s">
        <v>2309</v>
      </c>
      <c r="D1846" s="6">
        <f>IFERROR(__xludf.DUMMYFUNCTION("SPLIT(MID(C1846,2,LEN(C1846)-2), "","")"),1429.0)</f>
        <v>1429</v>
      </c>
      <c r="E1846" s="7"/>
      <c r="F1846" s="7"/>
      <c r="G1846" s="2" t="str">
        <f t="array" ref="G1846">IF(ISBLANK(D1846), "", INDEX(Categories!$B:$B,MATCH(D1846,Categories!$A:$A,0)))</f>
        <v>Electric Companies Utility</v>
      </c>
      <c r="H1846" s="7" t="str">
        <f t="array" ref="H1846">IF(ISBLANK(E1846), "", INDEX(Categories!$B:$B,MATCH(E1846,Categories!$A:$A,0)))</f>
        <v/>
      </c>
      <c r="I1846" s="7" t="str">
        <f t="array" ref="I1846">IF(ISBLANK(F1846), "", INDEX(Categories!$B:$B,MATCH(F1846,Categories!$A:$A,0)))</f>
        <v/>
      </c>
      <c r="J1846" s="4"/>
      <c r="K1846" s="4"/>
      <c r="L1846" s="4"/>
      <c r="M1846" s="4"/>
      <c r="N1846" s="4"/>
      <c r="O1846" s="4"/>
      <c r="P1846" s="4"/>
      <c r="Q1846" s="4"/>
    </row>
    <row r="1847">
      <c r="A1847" s="5">
        <v>1846.0</v>
      </c>
      <c r="B1847" s="5" t="s">
        <v>2310</v>
      </c>
      <c r="C1847" s="5" t="s">
        <v>246</v>
      </c>
      <c r="D1847" s="6">
        <f>IFERROR(__xludf.DUMMYFUNCTION("SPLIT(MID(C1847,2,LEN(C1847)-2), "","")"),1587.0)</f>
        <v>1587</v>
      </c>
      <c r="E1847" s="7"/>
      <c r="F1847" s="7"/>
      <c r="G1847" s="2" t="str">
        <f t="array" ref="G1847">IF(ISBLANK(D1847), "", INDEX(Categories!$B:$B,MATCH(D1847,Categories!$A:$A,0)))</f>
        <v>Educational Services</v>
      </c>
      <c r="H1847" s="7" t="str">
        <f t="array" ref="H1847">IF(ISBLANK(E1847), "", INDEX(Categories!$B:$B,MATCH(E1847,Categories!$A:$A,0)))</f>
        <v/>
      </c>
      <c r="I1847" s="7" t="str">
        <f t="array" ref="I1847">IF(ISBLANK(F1847), "", INDEX(Categories!$B:$B,MATCH(F1847,Categories!$A:$A,0)))</f>
        <v/>
      </c>
      <c r="J1847" s="4"/>
      <c r="K1847" s="4"/>
      <c r="L1847" s="4"/>
      <c r="M1847" s="4"/>
      <c r="N1847" s="4"/>
      <c r="O1847" s="4"/>
      <c r="P1847" s="4"/>
      <c r="Q1847" s="4"/>
    </row>
    <row r="1848">
      <c r="A1848" s="5">
        <v>1847.0</v>
      </c>
      <c r="B1848" s="5" t="s">
        <v>2311</v>
      </c>
      <c r="C1848" s="5" t="s">
        <v>161</v>
      </c>
      <c r="D1848" s="6">
        <f>IFERROR(__xludf.DUMMYFUNCTION("SPLIT(MID(C1848,2,LEN(C1848)-2), "","")"),1835.0)</f>
        <v>1835</v>
      </c>
      <c r="E1848" s="7"/>
      <c r="F1848" s="7"/>
      <c r="G1848" s="2" t="str">
        <f t="array" ref="G1848">IF(ISBLANK(D1848), "", INDEX(Categories!$B:$B,MATCH(D1848,Categories!$A:$A,0)))</f>
        <v>Optical Goods</v>
      </c>
      <c r="H1848" s="7" t="str">
        <f t="array" ref="H1848">IF(ISBLANK(E1848), "", INDEX(Categories!$B:$B,MATCH(E1848,Categories!$A:$A,0)))</f>
        <v/>
      </c>
      <c r="I1848" s="7" t="str">
        <f t="array" ref="I1848">IF(ISBLANK(F1848), "", INDEX(Categories!$B:$B,MATCH(F1848,Categories!$A:$A,0)))</f>
        <v/>
      </c>
      <c r="J1848" s="4"/>
      <c r="K1848" s="4"/>
      <c r="L1848" s="4"/>
      <c r="M1848" s="4"/>
      <c r="N1848" s="4"/>
      <c r="O1848" s="4"/>
      <c r="P1848" s="4"/>
      <c r="Q1848" s="4"/>
    </row>
    <row r="1849">
      <c r="A1849" s="5">
        <v>1848.0</v>
      </c>
      <c r="B1849" s="5" t="s">
        <v>2312</v>
      </c>
      <c r="C1849" s="5" t="s">
        <v>2313</v>
      </c>
      <c r="D1849" s="6">
        <f>IFERROR(__xludf.DUMMYFUNCTION("SPLIT(MID(C1849,2,LEN(C1849)-2), "","")"),2575.0)</f>
        <v>2575</v>
      </c>
      <c r="E1849" s="7"/>
      <c r="F1849" s="7"/>
      <c r="G1849" s="2" t="str">
        <f t="array" ref="G1849">IF(ISBLANK(D1849), "", INDEX(Categories!$B:$B,MATCH(D1849,Categories!$A:$A,0)))</f>
        <v>Glass Products &amp; Services</v>
      </c>
      <c r="H1849" s="7" t="str">
        <f t="array" ref="H1849">IF(ISBLANK(E1849), "", INDEX(Categories!$B:$B,MATCH(E1849,Categories!$A:$A,0)))</f>
        <v/>
      </c>
      <c r="I1849" s="7" t="str">
        <f t="array" ref="I1849">IF(ISBLANK(F1849), "", INDEX(Categories!$B:$B,MATCH(F1849,Categories!$A:$A,0)))</f>
        <v/>
      </c>
      <c r="J1849" s="4"/>
      <c r="K1849" s="4"/>
      <c r="L1849" s="4"/>
      <c r="M1849" s="4"/>
      <c r="N1849" s="4"/>
      <c r="O1849" s="4"/>
      <c r="P1849" s="4"/>
      <c r="Q1849" s="4"/>
    </row>
    <row r="1850">
      <c r="A1850" s="5">
        <v>1849.0</v>
      </c>
      <c r="B1850" s="5" t="s">
        <v>2314</v>
      </c>
      <c r="C1850" s="5" t="s">
        <v>2286</v>
      </c>
      <c r="D1850" s="6">
        <f>IFERROR(__xludf.DUMMYFUNCTION("SPLIT(MID(C1850,2,LEN(C1850)-2), "","")"),80.0)</f>
        <v>80</v>
      </c>
      <c r="E1850" s="7"/>
      <c r="F1850" s="7"/>
      <c r="G1850" s="2" t="str">
        <f t="array" ref="G1850">IF(ISBLANK(D1850), "", INDEX(Categories!$B:$B,MATCH(D1850,Categories!$A:$A,0)))</f>
        <v>Dentists</v>
      </c>
      <c r="H1850" s="7" t="str">
        <f t="array" ref="H1850">IF(ISBLANK(E1850), "", INDEX(Categories!$B:$B,MATCH(E1850,Categories!$A:$A,0)))</f>
        <v/>
      </c>
      <c r="I1850" s="7" t="str">
        <f t="array" ref="I1850">IF(ISBLANK(F1850), "", INDEX(Categories!$B:$B,MATCH(F1850,Categories!$A:$A,0)))</f>
        <v/>
      </c>
      <c r="J1850" s="4"/>
      <c r="K1850" s="4"/>
      <c r="L1850" s="4"/>
      <c r="M1850" s="4"/>
      <c r="N1850" s="4"/>
      <c r="O1850" s="4"/>
      <c r="P1850" s="4"/>
      <c r="Q1850" s="4"/>
    </row>
    <row r="1851">
      <c r="A1851" s="5">
        <v>1850.0</v>
      </c>
      <c r="B1851" s="5" t="s">
        <v>2315</v>
      </c>
      <c r="C1851" s="5" t="s">
        <v>14</v>
      </c>
      <c r="D1851" s="6">
        <f>IFERROR(__xludf.DUMMYFUNCTION("SPLIT(MID(C1851,2,LEN(C1851)-2), "","")"),1065.0)</f>
        <v>1065</v>
      </c>
      <c r="E1851" s="7"/>
      <c r="F1851" s="7"/>
      <c r="G1851" s="2" t="str">
        <f t="array" ref="G1851">IF(ISBLANK(D1851), "", INDEX(Categories!$B:$B,MATCH(D1851,Categories!$A:$A,0)))</f>
        <v>Hardware</v>
      </c>
      <c r="H1851" s="7" t="str">
        <f t="array" ref="H1851">IF(ISBLANK(E1851), "", INDEX(Categories!$B:$B,MATCH(E1851,Categories!$A:$A,0)))</f>
        <v/>
      </c>
      <c r="I1851" s="7" t="str">
        <f t="array" ref="I1851">IF(ISBLANK(F1851), "", INDEX(Categories!$B:$B,MATCH(F1851,Categories!$A:$A,0)))</f>
        <v/>
      </c>
      <c r="J1851" s="4"/>
      <c r="K1851" s="4"/>
      <c r="L1851" s="4"/>
      <c r="M1851" s="4"/>
      <c r="N1851" s="4"/>
      <c r="O1851" s="4"/>
      <c r="P1851" s="4"/>
      <c r="Q1851" s="4"/>
    </row>
    <row r="1852">
      <c r="A1852" s="5">
        <v>1851.0</v>
      </c>
      <c r="B1852" s="5" t="s">
        <v>2316</v>
      </c>
      <c r="C1852" s="5" t="s">
        <v>290</v>
      </c>
      <c r="D1852" s="6">
        <f>IFERROR(__xludf.DUMMYFUNCTION("SPLIT(MID(C1852,2,LEN(C1852)-2), "","")"),2035.0)</f>
        <v>2035</v>
      </c>
      <c r="E1852" s="7"/>
      <c r="F1852" s="7"/>
      <c r="G1852" s="2" t="str">
        <f t="array" ref="G1852">IF(ISBLANK(D1852), "", INDEX(Categories!$B:$B,MATCH(D1852,Categories!$A:$A,0)))</f>
        <v>Home Health Care Services</v>
      </c>
      <c r="H1852" s="7" t="str">
        <f t="array" ref="H1852">IF(ISBLANK(E1852), "", INDEX(Categories!$B:$B,MATCH(E1852,Categories!$A:$A,0)))</f>
        <v/>
      </c>
      <c r="I1852" s="7" t="str">
        <f t="array" ref="I1852">IF(ISBLANK(F1852), "", INDEX(Categories!$B:$B,MATCH(F1852,Categories!$A:$A,0)))</f>
        <v/>
      </c>
      <c r="J1852" s="4"/>
      <c r="K1852" s="4"/>
      <c r="L1852" s="4"/>
      <c r="M1852" s="4"/>
      <c r="N1852" s="4"/>
      <c r="O1852" s="4"/>
      <c r="P1852" s="4"/>
      <c r="Q1852" s="4"/>
    </row>
    <row r="1853">
      <c r="A1853" s="5">
        <v>1852.0</v>
      </c>
      <c r="B1853" s="5" t="s">
        <v>2317</v>
      </c>
      <c r="C1853" s="5" t="s">
        <v>781</v>
      </c>
      <c r="D1853" s="6">
        <f>IFERROR(__xludf.DUMMYFUNCTION("SPLIT(MID(C1853,2,LEN(C1853)-2), "","")"),1225.0)</f>
        <v>1225</v>
      </c>
      <c r="E1853" s="7"/>
      <c r="F1853" s="7"/>
      <c r="G1853" s="2" t="str">
        <f t="array" ref="G1853">IF(ISBLANK(D1853), "", INDEX(Categories!$B:$B,MATCH(D1853,Categories!$A:$A,0)))</f>
        <v>Contractors General</v>
      </c>
      <c r="H1853" s="7" t="str">
        <f t="array" ref="H1853">IF(ISBLANK(E1853), "", INDEX(Categories!$B:$B,MATCH(E1853,Categories!$A:$A,0)))</f>
        <v/>
      </c>
      <c r="I1853" s="7" t="str">
        <f t="array" ref="I1853">IF(ISBLANK(F1853), "", INDEX(Categories!$B:$B,MATCH(F1853,Categories!$A:$A,0)))</f>
        <v/>
      </c>
      <c r="J1853" s="4"/>
      <c r="K1853" s="4"/>
      <c r="L1853" s="4"/>
      <c r="M1853" s="4"/>
      <c r="N1853" s="4"/>
      <c r="O1853" s="4"/>
      <c r="P1853" s="4"/>
      <c r="Q1853" s="4"/>
    </row>
    <row r="1854">
      <c r="A1854" s="5">
        <v>1853.0</v>
      </c>
      <c r="B1854" s="5" t="s">
        <v>2318</v>
      </c>
      <c r="C1854" s="5" t="s">
        <v>2319</v>
      </c>
      <c r="D1854" s="6">
        <f>IFERROR(__xludf.DUMMYFUNCTION("SPLIT(MID(C1854,2,LEN(C1854)-2), "","")"),970.0)</f>
        <v>970</v>
      </c>
      <c r="E1854" s="7"/>
      <c r="F1854" s="7"/>
      <c r="G1854" s="2" t="str">
        <f t="array" ref="G1854">IF(ISBLANK(D1854), "", INDEX(Categories!$B:$B,MATCH(D1854,Categories!$A:$A,0)))</f>
        <v>Garage Doors &amp; Openers Sales &amp; Repairs</v>
      </c>
      <c r="H1854" s="7" t="str">
        <f t="array" ref="H1854">IF(ISBLANK(E1854), "", INDEX(Categories!$B:$B,MATCH(E1854,Categories!$A:$A,0)))</f>
        <v/>
      </c>
      <c r="I1854" s="7" t="str">
        <f t="array" ref="I1854">IF(ISBLANK(F1854), "", INDEX(Categories!$B:$B,MATCH(F1854,Categories!$A:$A,0)))</f>
        <v/>
      </c>
      <c r="J1854" s="4"/>
      <c r="K1854" s="4"/>
      <c r="L1854" s="4"/>
      <c r="M1854" s="4"/>
      <c r="N1854" s="4"/>
      <c r="O1854" s="4"/>
      <c r="P1854" s="4"/>
      <c r="Q1854" s="4"/>
    </row>
    <row r="1855">
      <c r="A1855" s="5">
        <v>1854.0</v>
      </c>
      <c r="B1855" s="5" t="s">
        <v>2320</v>
      </c>
      <c r="C1855" s="5" t="s">
        <v>428</v>
      </c>
      <c r="D1855" s="6">
        <f>IFERROR(__xludf.DUMMYFUNCTION("SPLIT(MID(C1855,2,LEN(C1855)-2), "","")"),558.0)</f>
        <v>558</v>
      </c>
      <c r="E1855" s="7"/>
      <c r="F1855" s="7"/>
      <c r="G1855" s="2" t="str">
        <f t="array" ref="G1855">IF(ISBLANK(D1855), "", INDEX(Categories!$B:$B,MATCH(D1855,Categories!$A:$A,0)))</f>
        <v>Employment Agencies</v>
      </c>
      <c r="H1855" s="7" t="str">
        <f t="array" ref="H1855">IF(ISBLANK(E1855), "", INDEX(Categories!$B:$B,MATCH(E1855,Categories!$A:$A,0)))</f>
        <v/>
      </c>
      <c r="I1855" s="7" t="str">
        <f t="array" ref="I1855">IF(ISBLANK(F1855), "", INDEX(Categories!$B:$B,MATCH(F1855,Categories!$A:$A,0)))</f>
        <v/>
      </c>
      <c r="J1855" s="4"/>
      <c r="K1855" s="4"/>
      <c r="L1855" s="4"/>
      <c r="M1855" s="4"/>
      <c r="N1855" s="4"/>
      <c r="O1855" s="4"/>
      <c r="P1855" s="4"/>
      <c r="Q1855" s="4"/>
    </row>
    <row r="1856">
      <c r="A1856" s="5">
        <v>1855.0</v>
      </c>
      <c r="B1856" s="5" t="s">
        <v>2321</v>
      </c>
      <c r="C1856" s="5" t="s">
        <v>194</v>
      </c>
      <c r="D1856" s="6">
        <f>IFERROR(__xludf.DUMMYFUNCTION("SPLIT(MID(C1856,2,LEN(C1856)-2), "","")"),442.0)</f>
        <v>442</v>
      </c>
      <c r="E1856" s="7"/>
      <c r="F1856" s="7"/>
      <c r="G1856" s="2" t="str">
        <f t="array" ref="G1856">IF(ISBLANK(D1856), "", INDEX(Categories!$B:$B,MATCH(D1856,Categories!$A:$A,0)))</f>
        <v>Pest Control Services</v>
      </c>
      <c r="H1856" s="7" t="str">
        <f t="array" ref="H1856">IF(ISBLANK(E1856), "", INDEX(Categories!$B:$B,MATCH(E1856,Categories!$A:$A,0)))</f>
        <v/>
      </c>
      <c r="I1856" s="7" t="str">
        <f t="array" ref="I1856">IF(ISBLANK(F1856), "", INDEX(Categories!$B:$B,MATCH(F1856,Categories!$A:$A,0)))</f>
        <v/>
      </c>
      <c r="J1856" s="4"/>
      <c r="K1856" s="4"/>
      <c r="L1856" s="4"/>
      <c r="M1856" s="4"/>
      <c r="N1856" s="4"/>
      <c r="O1856" s="4"/>
      <c r="P1856" s="4"/>
      <c r="Q1856" s="4"/>
    </row>
    <row r="1857">
      <c r="A1857" s="5">
        <v>1856.0</v>
      </c>
      <c r="B1857" s="5" t="s">
        <v>2322</v>
      </c>
      <c r="C1857" s="5" t="s">
        <v>217</v>
      </c>
      <c r="D1857" s="6">
        <f>IFERROR(__xludf.DUMMYFUNCTION("SPLIT(MID(C1857,2,LEN(C1857)-2), "","")"),147.0)</f>
        <v>147</v>
      </c>
      <c r="E1857" s="7"/>
      <c r="F1857" s="7"/>
      <c r="G1857" s="2" t="str">
        <f t="array" ref="G1857">IF(ISBLANK(D1857), "", INDEX(Categories!$B:$B,MATCH(D1857,Categories!$A:$A,0)))</f>
        <v>Contractors - Plumbers &amp; Plumbing</v>
      </c>
      <c r="H1857" s="7" t="str">
        <f t="array" ref="H1857">IF(ISBLANK(E1857), "", INDEX(Categories!$B:$B,MATCH(E1857,Categories!$A:$A,0)))</f>
        <v/>
      </c>
      <c r="I1857" s="7" t="str">
        <f t="array" ref="I1857">IF(ISBLANK(F1857), "", INDEX(Categories!$B:$B,MATCH(F1857,Categories!$A:$A,0)))</f>
        <v/>
      </c>
      <c r="J1857" s="4"/>
      <c r="K1857" s="4"/>
      <c r="L1857" s="4"/>
      <c r="M1857" s="4"/>
      <c r="N1857" s="4"/>
      <c r="O1857" s="4"/>
      <c r="P1857" s="4"/>
      <c r="Q1857" s="4"/>
    </row>
    <row r="1858">
      <c r="A1858" s="5">
        <v>1857.0</v>
      </c>
      <c r="B1858" s="5" t="s">
        <v>2323</v>
      </c>
      <c r="C1858" s="5" t="s">
        <v>2324</v>
      </c>
      <c r="D1858" s="6">
        <f>IFERROR(__xludf.DUMMYFUNCTION("SPLIT(MID(C1858,2,LEN(C1858)-2), "","")"),961.0)</f>
        <v>961</v>
      </c>
      <c r="E1858" s="7"/>
      <c r="F1858" s="7"/>
      <c r="G1858" s="2" t="str">
        <f t="array" ref="G1858">IF(ISBLANK(D1858), "", INDEX(Categories!$B:$B,MATCH(D1858,Categories!$A:$A,0)))</f>
        <v>Contractors - Concrete</v>
      </c>
      <c r="H1858" s="7" t="str">
        <f t="array" ref="H1858">IF(ISBLANK(E1858), "", INDEX(Categories!$B:$B,MATCH(E1858,Categories!$A:$A,0)))</f>
        <v/>
      </c>
      <c r="I1858" s="7" t="str">
        <f t="array" ref="I1858">IF(ISBLANK(F1858), "", INDEX(Categories!$B:$B,MATCH(F1858,Categories!$A:$A,0)))</f>
        <v/>
      </c>
      <c r="J1858" s="4"/>
      <c r="K1858" s="4"/>
      <c r="L1858" s="4"/>
      <c r="M1858" s="4"/>
      <c r="N1858" s="4"/>
      <c r="O1858" s="4"/>
      <c r="P1858" s="4"/>
      <c r="Q1858" s="4"/>
    </row>
    <row r="1859">
      <c r="A1859" s="5">
        <v>1858.0</v>
      </c>
      <c r="B1859" s="5" t="s">
        <v>2325</v>
      </c>
      <c r="C1859" s="5" t="s">
        <v>1229</v>
      </c>
      <c r="D1859" s="6">
        <f>IFERROR(__xludf.DUMMYFUNCTION("SPLIT(MID(C1859,2,LEN(C1859)-2), "","")"),2505.0)</f>
        <v>2505</v>
      </c>
      <c r="E1859" s="7"/>
      <c r="F1859" s="7"/>
      <c r="G1859" s="2" t="str">
        <f t="array" ref="G1859">IF(ISBLANK(D1859), "", INDEX(Categories!$B:$B,MATCH(D1859,Categories!$A:$A,0)))</f>
        <v>Internet Services</v>
      </c>
      <c r="H1859" s="7" t="str">
        <f t="array" ref="H1859">IF(ISBLANK(E1859), "", INDEX(Categories!$B:$B,MATCH(E1859,Categories!$A:$A,0)))</f>
        <v/>
      </c>
      <c r="I1859" s="7" t="str">
        <f t="array" ref="I1859">IF(ISBLANK(F1859), "", INDEX(Categories!$B:$B,MATCH(F1859,Categories!$A:$A,0)))</f>
        <v/>
      </c>
      <c r="J1859" s="4"/>
      <c r="K1859" s="4"/>
      <c r="L1859" s="4"/>
      <c r="M1859" s="4"/>
      <c r="N1859" s="4"/>
      <c r="O1859" s="4"/>
      <c r="P1859" s="4"/>
      <c r="Q1859" s="4"/>
    </row>
    <row r="1860">
      <c r="A1860" s="5">
        <v>1859.0</v>
      </c>
      <c r="B1860" s="5" t="s">
        <v>2326</v>
      </c>
      <c r="C1860" s="5" t="s">
        <v>338</v>
      </c>
      <c r="D1860" s="6">
        <f>IFERROR(__xludf.DUMMYFUNCTION("SPLIT(MID(C1860,2,LEN(C1860)-2), "","")"),244.0)</f>
        <v>244</v>
      </c>
      <c r="E1860" s="7"/>
      <c r="F1860" s="7"/>
      <c r="G1860" s="2" t="str">
        <f t="array" ref="G1860">IF(ISBLANK(D1860), "", INDEX(Categories!$B:$B,MATCH(D1860,Categories!$A:$A,0)))</f>
        <v>Office Services, Supplies &amp; Equipment</v>
      </c>
      <c r="H1860" s="7" t="str">
        <f t="array" ref="H1860">IF(ISBLANK(E1860), "", INDEX(Categories!$B:$B,MATCH(E1860,Categories!$A:$A,0)))</f>
        <v/>
      </c>
      <c r="I1860" s="7" t="str">
        <f t="array" ref="I1860">IF(ISBLANK(F1860), "", INDEX(Categories!$B:$B,MATCH(F1860,Categories!$A:$A,0)))</f>
        <v/>
      </c>
      <c r="J1860" s="4"/>
      <c r="K1860" s="4"/>
      <c r="L1860" s="4"/>
      <c r="M1860" s="4"/>
      <c r="N1860" s="4"/>
      <c r="O1860" s="4"/>
      <c r="P1860" s="4"/>
      <c r="Q1860" s="4"/>
    </row>
    <row r="1861">
      <c r="A1861" s="5">
        <v>1860.0</v>
      </c>
      <c r="B1861" s="5" t="s">
        <v>2327</v>
      </c>
      <c r="C1861" s="5" t="s">
        <v>1158</v>
      </c>
      <c r="D1861" s="6">
        <f>IFERROR(__xludf.DUMMYFUNCTION("SPLIT(MID(C1861,2,LEN(C1861)-2), "","")"),2815.0)</f>
        <v>2815</v>
      </c>
      <c r="E1861" s="7"/>
      <c r="F1861" s="7"/>
      <c r="G1861" s="2" t="str">
        <f t="array" ref="G1861">IF(ISBLANK(D1861), "", INDEX(Categories!$B:$B,MATCH(D1861,Categories!$A:$A,0)))</f>
        <v>Hospitals, Clinics &amp; Medical Centers</v>
      </c>
      <c r="H1861" s="7" t="str">
        <f t="array" ref="H1861">IF(ISBLANK(E1861), "", INDEX(Categories!$B:$B,MATCH(E1861,Categories!$A:$A,0)))</f>
        <v/>
      </c>
      <c r="I1861" s="7" t="str">
        <f t="array" ref="I1861">IF(ISBLANK(F1861), "", INDEX(Categories!$B:$B,MATCH(F1861,Categories!$A:$A,0)))</f>
        <v/>
      </c>
      <c r="J1861" s="4"/>
      <c r="K1861" s="4"/>
      <c r="L1861" s="4"/>
      <c r="M1861" s="4"/>
      <c r="N1861" s="4"/>
      <c r="O1861" s="4"/>
      <c r="P1861" s="4"/>
      <c r="Q1861" s="4"/>
    </row>
    <row r="1862">
      <c r="A1862" s="5">
        <v>1861.0</v>
      </c>
      <c r="B1862" s="5" t="s">
        <v>2328</v>
      </c>
      <c r="C1862" s="5" t="s">
        <v>125</v>
      </c>
      <c r="D1862" s="6">
        <f>IFERROR(__xludf.DUMMYFUNCTION("SPLIT(MID(C1862,2,LEN(C1862)-2), "","")"),423.0)</f>
        <v>423</v>
      </c>
      <c r="E1862" s="7"/>
      <c r="F1862" s="7"/>
      <c r="G1862" s="2" t="str">
        <f t="array" ref="G1862">IF(ISBLANK(D1862), "", INDEX(Categories!$B:$B,MATCH(D1862,Categories!$A:$A,0)))</f>
        <v>Religious Organizations</v>
      </c>
      <c r="H1862" s="7" t="str">
        <f t="array" ref="H1862">IF(ISBLANK(E1862), "", INDEX(Categories!$B:$B,MATCH(E1862,Categories!$A:$A,0)))</f>
        <v/>
      </c>
      <c r="I1862" s="7" t="str">
        <f t="array" ref="I1862">IF(ISBLANK(F1862), "", INDEX(Categories!$B:$B,MATCH(F1862,Categories!$A:$A,0)))</f>
        <v/>
      </c>
      <c r="J1862" s="4"/>
      <c r="K1862" s="4"/>
      <c r="L1862" s="4"/>
      <c r="M1862" s="4"/>
      <c r="N1862" s="4"/>
      <c r="O1862" s="4"/>
      <c r="P1862" s="4"/>
      <c r="Q1862" s="4"/>
    </row>
    <row r="1863">
      <c r="A1863" s="5">
        <v>1862.0</v>
      </c>
      <c r="B1863" s="5" t="s">
        <v>2329</v>
      </c>
      <c r="C1863" s="5" t="s">
        <v>1600</v>
      </c>
      <c r="D1863" s="6">
        <f>IFERROR(__xludf.DUMMYFUNCTION("SPLIT(MID(C1863,2,LEN(C1863)-2), "","")"),2595.0)</f>
        <v>2595</v>
      </c>
      <c r="E1863" s="7"/>
      <c r="F1863" s="7"/>
      <c r="G1863" s="2" t="str">
        <f t="array" ref="G1863">IF(ISBLANK(D1863), "", INDEX(Categories!$B:$B,MATCH(D1863,Categories!$A:$A,0)))</f>
        <v>Health &amp; Fitness Clubs</v>
      </c>
      <c r="H1863" s="7" t="str">
        <f t="array" ref="H1863">IF(ISBLANK(E1863), "", INDEX(Categories!$B:$B,MATCH(E1863,Categories!$A:$A,0)))</f>
        <v/>
      </c>
      <c r="I1863" s="7" t="str">
        <f t="array" ref="I1863">IF(ISBLANK(F1863), "", INDEX(Categories!$B:$B,MATCH(F1863,Categories!$A:$A,0)))</f>
        <v/>
      </c>
      <c r="J1863" s="4"/>
      <c r="K1863" s="4"/>
      <c r="L1863" s="4"/>
      <c r="M1863" s="4"/>
      <c r="N1863" s="4"/>
      <c r="O1863" s="4"/>
      <c r="P1863" s="4"/>
      <c r="Q1863" s="4"/>
    </row>
    <row r="1864">
      <c r="A1864" s="5">
        <v>1863.0</v>
      </c>
      <c r="B1864" s="5" t="s">
        <v>2330</v>
      </c>
      <c r="C1864" s="5" t="s">
        <v>87</v>
      </c>
      <c r="D1864" s="6">
        <f>IFERROR(__xludf.DUMMYFUNCTION("SPLIT(MID(C1864,2,LEN(C1864)-2), "","")"),168.0)</f>
        <v>168</v>
      </c>
      <c r="E1864" s="7"/>
      <c r="F1864" s="7"/>
      <c r="G1864" s="2" t="str">
        <f t="array" ref="G1864">IF(ISBLANK(D1864), "", INDEX(Categories!$B:$B,MATCH(D1864,Categories!$A:$A,0)))</f>
        <v>Hotels &amp; Motels</v>
      </c>
      <c r="H1864" s="7" t="str">
        <f t="array" ref="H1864">IF(ISBLANK(E1864), "", INDEX(Categories!$B:$B,MATCH(E1864,Categories!$A:$A,0)))</f>
        <v/>
      </c>
      <c r="I1864" s="7" t="str">
        <f t="array" ref="I1864">IF(ISBLANK(F1864), "", INDEX(Categories!$B:$B,MATCH(F1864,Categories!$A:$A,0)))</f>
        <v/>
      </c>
      <c r="J1864" s="4"/>
      <c r="K1864" s="4"/>
      <c r="L1864" s="4"/>
      <c r="M1864" s="4"/>
      <c r="N1864" s="4"/>
      <c r="O1864" s="4"/>
      <c r="P1864" s="4"/>
      <c r="Q1864" s="4"/>
    </row>
    <row r="1865">
      <c r="A1865" s="5">
        <v>1864.0</v>
      </c>
      <c r="B1865" s="5" t="s">
        <v>2331</v>
      </c>
      <c r="C1865" s="5" t="s">
        <v>2313</v>
      </c>
      <c r="D1865" s="6">
        <f>IFERROR(__xludf.DUMMYFUNCTION("SPLIT(MID(C1865,2,LEN(C1865)-2), "","")"),2575.0)</f>
        <v>2575</v>
      </c>
      <c r="E1865" s="7"/>
      <c r="F1865" s="7"/>
      <c r="G1865" s="2" t="str">
        <f t="array" ref="G1865">IF(ISBLANK(D1865), "", INDEX(Categories!$B:$B,MATCH(D1865,Categories!$A:$A,0)))</f>
        <v>Glass Products &amp; Services</v>
      </c>
      <c r="H1865" s="7" t="str">
        <f t="array" ref="H1865">IF(ISBLANK(E1865), "", INDEX(Categories!$B:$B,MATCH(E1865,Categories!$A:$A,0)))</f>
        <v/>
      </c>
      <c r="I1865" s="7" t="str">
        <f t="array" ref="I1865">IF(ISBLANK(F1865), "", INDEX(Categories!$B:$B,MATCH(F1865,Categories!$A:$A,0)))</f>
        <v/>
      </c>
      <c r="J1865" s="4"/>
      <c r="K1865" s="4"/>
      <c r="L1865" s="4"/>
      <c r="M1865" s="4"/>
      <c r="N1865" s="4"/>
      <c r="O1865" s="4"/>
      <c r="P1865" s="4"/>
      <c r="Q1865" s="4"/>
    </row>
    <row r="1866">
      <c r="A1866" s="5">
        <v>1865.0</v>
      </c>
      <c r="B1866" s="5" t="s">
        <v>2332</v>
      </c>
      <c r="C1866" s="5" t="s">
        <v>2333</v>
      </c>
      <c r="D1866" s="6">
        <f>IFERROR(__xludf.DUMMYFUNCTION("SPLIT(MID(C1866,2,LEN(C1866)-2), "","")"),1012.0)</f>
        <v>1012</v>
      </c>
      <c r="E1866" s="7"/>
      <c r="F1866" s="7"/>
      <c r="G1866" s="2" t="str">
        <f t="array" ref="G1866">IF(ISBLANK(D1866), "", INDEX(Categories!$B:$B,MATCH(D1866,Categories!$A:$A,0)))</f>
        <v>Security Systems &amp; Services</v>
      </c>
      <c r="H1866" s="7" t="str">
        <f t="array" ref="H1866">IF(ISBLANK(E1866), "", INDEX(Categories!$B:$B,MATCH(E1866,Categories!$A:$A,0)))</f>
        <v/>
      </c>
      <c r="I1866" s="7" t="str">
        <f t="array" ref="I1866">IF(ISBLANK(F1866), "", INDEX(Categories!$B:$B,MATCH(F1866,Categories!$A:$A,0)))</f>
        <v/>
      </c>
      <c r="J1866" s="4"/>
      <c r="K1866" s="4"/>
      <c r="L1866" s="4"/>
      <c r="M1866" s="4"/>
      <c r="N1866" s="4"/>
      <c r="O1866" s="4"/>
      <c r="P1866" s="4"/>
      <c r="Q1866" s="4"/>
    </row>
    <row r="1867">
      <c r="A1867" s="5">
        <v>1866.0</v>
      </c>
      <c r="B1867" s="5" t="s">
        <v>2334</v>
      </c>
      <c r="C1867" s="5" t="s">
        <v>87</v>
      </c>
      <c r="D1867" s="6">
        <f>IFERROR(__xludf.DUMMYFUNCTION("SPLIT(MID(C1867,2,LEN(C1867)-2), "","")"),168.0)</f>
        <v>168</v>
      </c>
      <c r="E1867" s="7"/>
      <c r="F1867" s="7"/>
      <c r="G1867" s="2" t="str">
        <f t="array" ref="G1867">IF(ISBLANK(D1867), "", INDEX(Categories!$B:$B,MATCH(D1867,Categories!$A:$A,0)))</f>
        <v>Hotels &amp; Motels</v>
      </c>
      <c r="H1867" s="7" t="str">
        <f t="array" ref="H1867">IF(ISBLANK(E1867), "", INDEX(Categories!$B:$B,MATCH(E1867,Categories!$A:$A,0)))</f>
        <v/>
      </c>
      <c r="I1867" s="7" t="str">
        <f t="array" ref="I1867">IF(ISBLANK(F1867), "", INDEX(Categories!$B:$B,MATCH(F1867,Categories!$A:$A,0)))</f>
        <v/>
      </c>
      <c r="J1867" s="4"/>
      <c r="K1867" s="4"/>
      <c r="L1867" s="4"/>
      <c r="M1867" s="4"/>
      <c r="N1867" s="4"/>
      <c r="O1867" s="4"/>
      <c r="P1867" s="4"/>
      <c r="Q1867" s="4"/>
    </row>
    <row r="1868">
      <c r="A1868" s="5">
        <v>1867.0</v>
      </c>
      <c r="B1868" s="5" t="s">
        <v>2335</v>
      </c>
      <c r="C1868" s="5" t="s">
        <v>1224</v>
      </c>
      <c r="D1868" s="6">
        <f>IFERROR(__xludf.DUMMYFUNCTION("SPLIT(MID(C1868,2,LEN(C1868)-2), "","")"),129.0)</f>
        <v>129</v>
      </c>
      <c r="E1868" s="7"/>
      <c r="F1868" s="7"/>
      <c r="G1868" s="2" t="str">
        <f t="array" ref="G1868">IF(ISBLANK(D1868), "", INDEX(Categories!$B:$B,MATCH(D1868,Categories!$A:$A,0)))</f>
        <v>Insurance Automobile</v>
      </c>
      <c r="H1868" s="7" t="str">
        <f t="array" ref="H1868">IF(ISBLANK(E1868), "", INDEX(Categories!$B:$B,MATCH(E1868,Categories!$A:$A,0)))</f>
        <v/>
      </c>
      <c r="I1868" s="7" t="str">
        <f t="array" ref="I1868">IF(ISBLANK(F1868), "", INDEX(Categories!$B:$B,MATCH(F1868,Categories!$A:$A,0)))</f>
        <v/>
      </c>
      <c r="J1868" s="4"/>
      <c r="K1868" s="4"/>
      <c r="L1868" s="4"/>
      <c r="M1868" s="4"/>
      <c r="N1868" s="4"/>
      <c r="O1868" s="4"/>
      <c r="P1868" s="4"/>
      <c r="Q1868" s="4"/>
    </row>
    <row r="1869">
      <c r="A1869" s="5">
        <v>1868.0</v>
      </c>
      <c r="B1869" s="5" t="s">
        <v>2336</v>
      </c>
      <c r="C1869" s="5" t="s">
        <v>303</v>
      </c>
      <c r="D1869" s="6">
        <f>IFERROR(__xludf.DUMMYFUNCTION("SPLIT(MID(C1869,2,LEN(C1869)-2), "","")"),1241.0)</f>
        <v>1241</v>
      </c>
      <c r="E1869" s="7"/>
      <c r="F1869" s="7"/>
      <c r="G1869" s="2" t="str">
        <f t="array" ref="G1869">IF(ISBLANK(D1869), "", INDEX(Categories!$B:$B,MATCH(D1869,Categories!$A:$A,0)))</f>
        <v>Clothing &amp; Accessories</v>
      </c>
      <c r="H1869" s="7" t="str">
        <f t="array" ref="H1869">IF(ISBLANK(E1869), "", INDEX(Categories!$B:$B,MATCH(E1869,Categories!$A:$A,0)))</f>
        <v/>
      </c>
      <c r="I1869" s="7" t="str">
        <f t="array" ref="I1869">IF(ISBLANK(F1869), "", INDEX(Categories!$B:$B,MATCH(F1869,Categories!$A:$A,0)))</f>
        <v/>
      </c>
      <c r="J1869" s="4"/>
      <c r="K1869" s="4"/>
      <c r="L1869" s="4"/>
      <c r="M1869" s="4"/>
      <c r="N1869" s="4"/>
      <c r="O1869" s="4"/>
      <c r="P1869" s="4"/>
      <c r="Q1869" s="4"/>
    </row>
    <row r="1870">
      <c r="A1870" s="5">
        <v>1869.0</v>
      </c>
      <c r="B1870" s="5" t="s">
        <v>2337</v>
      </c>
      <c r="C1870" s="5" t="s">
        <v>2338</v>
      </c>
      <c r="D1870" s="6">
        <f>IFERROR(__xludf.DUMMYFUNCTION("SPLIT(MID(C1870,2,LEN(C1870)-2), "","")"),567.0)</f>
        <v>567</v>
      </c>
      <c r="E1870" s="7"/>
      <c r="F1870" s="7"/>
      <c r="G1870" s="2" t="str">
        <f t="array" ref="G1870">IF(ISBLANK(D1870), "", INDEX(Categories!$B:$B,MATCH(D1870,Categories!$A:$A,0)))</f>
        <v>Contractors - Painting</v>
      </c>
      <c r="H1870" s="7" t="str">
        <f t="array" ref="H1870">IF(ISBLANK(E1870), "", INDEX(Categories!$B:$B,MATCH(E1870,Categories!$A:$A,0)))</f>
        <v/>
      </c>
      <c r="I1870" s="7" t="str">
        <f t="array" ref="I1870">IF(ISBLANK(F1870), "", INDEX(Categories!$B:$B,MATCH(F1870,Categories!$A:$A,0)))</f>
        <v/>
      </c>
      <c r="J1870" s="4"/>
      <c r="K1870" s="4"/>
      <c r="L1870" s="4"/>
      <c r="M1870" s="4"/>
      <c r="N1870" s="4"/>
      <c r="O1870" s="4"/>
      <c r="P1870" s="4"/>
      <c r="Q1870" s="4"/>
    </row>
    <row r="1871">
      <c r="A1871" s="5">
        <v>1870.0</v>
      </c>
      <c r="B1871" s="5" t="s">
        <v>2339</v>
      </c>
      <c r="C1871" s="5" t="s">
        <v>1273</v>
      </c>
      <c r="D1871" s="6">
        <f>IFERROR(__xludf.DUMMYFUNCTION("SPLIT(MID(C1871,2,LEN(C1871)-2), "","")"),690.0)</f>
        <v>690</v>
      </c>
      <c r="E1871" s="7"/>
      <c r="F1871" s="7"/>
      <c r="G1871" s="2" t="str">
        <f t="array" ref="G1871">IF(ISBLANK(D1871), "", INDEX(Categories!$B:$B,MATCH(D1871,Categories!$A:$A,0)))</f>
        <v>Gift Baskets &amp; Parcels</v>
      </c>
      <c r="H1871" s="7" t="str">
        <f t="array" ref="H1871">IF(ISBLANK(E1871), "", INDEX(Categories!$B:$B,MATCH(E1871,Categories!$A:$A,0)))</f>
        <v/>
      </c>
      <c r="I1871" s="7" t="str">
        <f t="array" ref="I1871">IF(ISBLANK(F1871), "", INDEX(Categories!$B:$B,MATCH(F1871,Categories!$A:$A,0)))</f>
        <v/>
      </c>
      <c r="J1871" s="4"/>
      <c r="K1871" s="4"/>
      <c r="L1871" s="4"/>
      <c r="M1871" s="4"/>
      <c r="N1871" s="4"/>
      <c r="O1871" s="4"/>
      <c r="P1871" s="4"/>
      <c r="Q1871" s="4"/>
    </row>
    <row r="1872">
      <c r="A1872" s="5">
        <v>1871.0</v>
      </c>
      <c r="B1872" s="5" t="s">
        <v>2340</v>
      </c>
      <c r="C1872" s="5" t="s">
        <v>87</v>
      </c>
      <c r="D1872" s="6">
        <f>IFERROR(__xludf.DUMMYFUNCTION("SPLIT(MID(C1872,2,LEN(C1872)-2), "","")"),168.0)</f>
        <v>168</v>
      </c>
      <c r="E1872" s="7"/>
      <c r="F1872" s="7"/>
      <c r="G1872" s="2" t="str">
        <f t="array" ref="G1872">IF(ISBLANK(D1872), "", INDEX(Categories!$B:$B,MATCH(D1872,Categories!$A:$A,0)))</f>
        <v>Hotels &amp; Motels</v>
      </c>
      <c r="H1872" s="7" t="str">
        <f t="array" ref="H1872">IF(ISBLANK(E1872), "", INDEX(Categories!$B:$B,MATCH(E1872,Categories!$A:$A,0)))</f>
        <v/>
      </c>
      <c r="I1872" s="7" t="str">
        <f t="array" ref="I1872">IF(ISBLANK(F1872), "", INDEX(Categories!$B:$B,MATCH(F1872,Categories!$A:$A,0)))</f>
        <v/>
      </c>
      <c r="J1872" s="4"/>
      <c r="K1872" s="4"/>
      <c r="L1872" s="4"/>
      <c r="M1872" s="4"/>
      <c r="N1872" s="4"/>
      <c r="O1872" s="4"/>
      <c r="P1872" s="4"/>
      <c r="Q1872" s="4"/>
    </row>
    <row r="1873">
      <c r="A1873" s="5">
        <v>1872.0</v>
      </c>
      <c r="B1873" s="5" t="s">
        <v>2341</v>
      </c>
      <c r="C1873" s="5" t="s">
        <v>303</v>
      </c>
      <c r="D1873" s="6">
        <f>IFERROR(__xludf.DUMMYFUNCTION("SPLIT(MID(C1873,2,LEN(C1873)-2), "","")"),1241.0)</f>
        <v>1241</v>
      </c>
      <c r="E1873" s="7"/>
      <c r="F1873" s="7"/>
      <c r="G1873" s="2" t="str">
        <f t="array" ref="G1873">IF(ISBLANK(D1873), "", INDEX(Categories!$B:$B,MATCH(D1873,Categories!$A:$A,0)))</f>
        <v>Clothing &amp; Accessories</v>
      </c>
      <c r="H1873" s="7" t="str">
        <f t="array" ref="H1873">IF(ISBLANK(E1873), "", INDEX(Categories!$B:$B,MATCH(E1873,Categories!$A:$A,0)))</f>
        <v/>
      </c>
      <c r="I1873" s="7" t="str">
        <f t="array" ref="I1873">IF(ISBLANK(F1873), "", INDEX(Categories!$B:$B,MATCH(F1873,Categories!$A:$A,0)))</f>
        <v/>
      </c>
      <c r="J1873" s="4"/>
      <c r="K1873" s="4"/>
      <c r="L1873" s="4"/>
      <c r="M1873" s="4"/>
      <c r="N1873" s="4"/>
      <c r="O1873" s="4"/>
      <c r="P1873" s="4"/>
      <c r="Q1873" s="4"/>
    </row>
    <row r="1874">
      <c r="A1874" s="5">
        <v>1873.0</v>
      </c>
      <c r="B1874" s="5" t="s">
        <v>2342</v>
      </c>
      <c r="C1874" s="5" t="s">
        <v>157</v>
      </c>
      <c r="D1874" s="6">
        <f>IFERROR(__xludf.DUMMYFUNCTION("SPLIT(MID(C1874,2,LEN(C1874)-2), "","")"),195.0)</f>
        <v>195</v>
      </c>
      <c r="E1874" s="7"/>
      <c r="F1874" s="7"/>
      <c r="G1874" s="2" t="str">
        <f t="array" ref="G1874">IF(ISBLANK(D1874), "", INDEX(Categories!$B:$B,MATCH(D1874,Categories!$A:$A,0)))</f>
        <v>Child Care Centers &amp; Services</v>
      </c>
      <c r="H1874" s="7" t="str">
        <f t="array" ref="H1874">IF(ISBLANK(E1874), "", INDEX(Categories!$B:$B,MATCH(E1874,Categories!$A:$A,0)))</f>
        <v/>
      </c>
      <c r="I1874" s="7" t="str">
        <f t="array" ref="I1874">IF(ISBLANK(F1874), "", INDEX(Categories!$B:$B,MATCH(F1874,Categories!$A:$A,0)))</f>
        <v/>
      </c>
      <c r="J1874" s="4"/>
      <c r="K1874" s="4"/>
      <c r="L1874" s="4"/>
      <c r="M1874" s="4"/>
      <c r="N1874" s="4"/>
      <c r="O1874" s="4"/>
      <c r="P1874" s="4"/>
      <c r="Q1874" s="4"/>
    </row>
    <row r="1875">
      <c r="A1875" s="5">
        <v>1874.0</v>
      </c>
      <c r="B1875" s="5" t="s">
        <v>2343</v>
      </c>
      <c r="C1875" s="5" t="s">
        <v>303</v>
      </c>
      <c r="D1875" s="6">
        <f>IFERROR(__xludf.DUMMYFUNCTION("SPLIT(MID(C1875,2,LEN(C1875)-2), "","")"),1241.0)</f>
        <v>1241</v>
      </c>
      <c r="E1875" s="7"/>
      <c r="F1875" s="7"/>
      <c r="G1875" s="2" t="str">
        <f t="array" ref="G1875">IF(ISBLANK(D1875), "", INDEX(Categories!$B:$B,MATCH(D1875,Categories!$A:$A,0)))</f>
        <v>Clothing &amp; Accessories</v>
      </c>
      <c r="H1875" s="7" t="str">
        <f t="array" ref="H1875">IF(ISBLANK(E1875), "", INDEX(Categories!$B:$B,MATCH(E1875,Categories!$A:$A,0)))</f>
        <v/>
      </c>
      <c r="I1875" s="7" t="str">
        <f t="array" ref="I1875">IF(ISBLANK(F1875), "", INDEX(Categories!$B:$B,MATCH(F1875,Categories!$A:$A,0)))</f>
        <v/>
      </c>
      <c r="J1875" s="4"/>
      <c r="K1875" s="4"/>
      <c r="L1875" s="4"/>
      <c r="M1875" s="4"/>
      <c r="N1875" s="4"/>
      <c r="O1875" s="4"/>
      <c r="P1875" s="4"/>
      <c r="Q1875" s="4"/>
    </row>
    <row r="1876">
      <c r="A1876" s="5">
        <v>1875.0</v>
      </c>
      <c r="B1876" s="5" t="s">
        <v>2344</v>
      </c>
      <c r="C1876" s="5" t="s">
        <v>246</v>
      </c>
      <c r="D1876" s="6">
        <f>IFERROR(__xludf.DUMMYFUNCTION("SPLIT(MID(C1876,2,LEN(C1876)-2), "","")"),1587.0)</f>
        <v>1587</v>
      </c>
      <c r="E1876" s="7"/>
      <c r="F1876" s="7"/>
      <c r="G1876" s="2" t="str">
        <f t="array" ref="G1876">IF(ISBLANK(D1876), "", INDEX(Categories!$B:$B,MATCH(D1876,Categories!$A:$A,0)))</f>
        <v>Educational Services</v>
      </c>
      <c r="H1876" s="7" t="str">
        <f t="array" ref="H1876">IF(ISBLANK(E1876), "", INDEX(Categories!$B:$B,MATCH(E1876,Categories!$A:$A,0)))</f>
        <v/>
      </c>
      <c r="I1876" s="7" t="str">
        <f t="array" ref="I1876">IF(ISBLANK(F1876), "", INDEX(Categories!$B:$B,MATCH(F1876,Categories!$A:$A,0)))</f>
        <v/>
      </c>
      <c r="J1876" s="4"/>
      <c r="K1876" s="4"/>
      <c r="L1876" s="4"/>
      <c r="M1876" s="4"/>
      <c r="N1876" s="4"/>
      <c r="O1876" s="4"/>
      <c r="P1876" s="4"/>
      <c r="Q1876" s="4"/>
    </row>
    <row r="1877">
      <c r="A1877" s="5">
        <v>1876.0</v>
      </c>
      <c r="B1877" s="5" t="s">
        <v>2345</v>
      </c>
      <c r="C1877" s="5" t="s">
        <v>115</v>
      </c>
      <c r="D1877" s="6">
        <f>IFERROR(__xludf.DUMMYFUNCTION("SPLIT(MID(C1877,2,LEN(C1877)-2), "","")"),1272.0)</f>
        <v>1272</v>
      </c>
      <c r="E1877" s="7"/>
      <c r="F1877" s="7"/>
      <c r="G1877" s="2" t="str">
        <f t="array" ref="G1877">IF(ISBLANK(D1877), "", INDEX(Categories!$B:$B,MATCH(D1877,Categories!$A:$A,0)))</f>
        <v>Womens Apparel</v>
      </c>
      <c r="H1877" s="7" t="str">
        <f t="array" ref="H1877">IF(ISBLANK(E1877), "", INDEX(Categories!$B:$B,MATCH(E1877,Categories!$A:$A,0)))</f>
        <v/>
      </c>
      <c r="I1877" s="7" t="str">
        <f t="array" ref="I1877">IF(ISBLANK(F1877), "", INDEX(Categories!$B:$B,MATCH(F1877,Categories!$A:$A,0)))</f>
        <v/>
      </c>
      <c r="J1877" s="4"/>
      <c r="K1877" s="4"/>
      <c r="L1877" s="4"/>
      <c r="M1877" s="4"/>
      <c r="N1877" s="4"/>
      <c r="O1877" s="4"/>
      <c r="P1877" s="4"/>
      <c r="Q1877" s="4"/>
    </row>
    <row r="1878">
      <c r="A1878" s="5">
        <v>1877.0</v>
      </c>
      <c r="B1878" s="5" t="s">
        <v>2346</v>
      </c>
      <c r="C1878" s="5" t="s">
        <v>501</v>
      </c>
      <c r="D1878" s="6">
        <f>IFERROR(__xludf.DUMMYFUNCTION("SPLIT(MID(C1878,2,LEN(C1878)-2), "","")"),896.0)</f>
        <v>896</v>
      </c>
      <c r="E1878" s="7"/>
      <c r="F1878" s="7"/>
      <c r="G1878" s="2" t="str">
        <f t="array" ref="G1878">IF(ISBLANK(D1878), "", INDEX(Categories!$B:$B,MATCH(D1878,Categories!$A:$A,0)))</f>
        <v>Check Cashing Service</v>
      </c>
      <c r="H1878" s="7" t="str">
        <f t="array" ref="H1878">IF(ISBLANK(E1878), "", INDEX(Categories!$B:$B,MATCH(E1878,Categories!$A:$A,0)))</f>
        <v/>
      </c>
      <c r="I1878" s="7" t="str">
        <f t="array" ref="I1878">IF(ISBLANK(F1878), "", INDEX(Categories!$B:$B,MATCH(F1878,Categories!$A:$A,0)))</f>
        <v/>
      </c>
      <c r="J1878" s="4"/>
      <c r="K1878" s="4"/>
      <c r="L1878" s="4"/>
      <c r="M1878" s="4"/>
      <c r="N1878" s="4"/>
      <c r="O1878" s="4"/>
      <c r="P1878" s="4"/>
      <c r="Q1878" s="4"/>
    </row>
    <row r="1879">
      <c r="A1879" s="5">
        <v>1878.0</v>
      </c>
      <c r="B1879" s="5" t="s">
        <v>2347</v>
      </c>
      <c r="C1879" s="5" t="s">
        <v>34</v>
      </c>
      <c r="D1879" s="6">
        <f>IFERROR(__xludf.DUMMYFUNCTION("SPLIT(MID(C1879,2,LEN(C1879)-2), "","")"),228.0)</f>
        <v>228</v>
      </c>
      <c r="E1879" s="7"/>
      <c r="F1879" s="7"/>
      <c r="G1879" s="2" t="str">
        <f t="array" ref="G1879">IF(ISBLANK(D1879), "", INDEX(Categories!$B:$B,MATCH(D1879,Categories!$A:$A,0)))</f>
        <v>Restaurants</v>
      </c>
      <c r="H1879" s="7" t="str">
        <f t="array" ref="H1879">IF(ISBLANK(E1879), "", INDEX(Categories!$B:$B,MATCH(E1879,Categories!$A:$A,0)))</f>
        <v/>
      </c>
      <c r="I1879" s="7" t="str">
        <f t="array" ref="I1879">IF(ISBLANK(F1879), "", INDEX(Categories!$B:$B,MATCH(F1879,Categories!$A:$A,0)))</f>
        <v/>
      </c>
      <c r="J1879" s="4"/>
      <c r="K1879" s="4"/>
      <c r="L1879" s="4"/>
      <c r="M1879" s="4"/>
      <c r="N1879" s="4"/>
      <c r="O1879" s="4"/>
      <c r="P1879" s="4"/>
      <c r="Q1879" s="4"/>
    </row>
    <row r="1880">
      <c r="A1880" s="5">
        <v>1879.0</v>
      </c>
      <c r="B1880" s="5" t="s">
        <v>2348</v>
      </c>
      <c r="C1880" s="5" t="s">
        <v>246</v>
      </c>
      <c r="D1880" s="6">
        <f>IFERROR(__xludf.DUMMYFUNCTION("SPLIT(MID(C1880,2,LEN(C1880)-2), "","")"),1587.0)</f>
        <v>1587</v>
      </c>
      <c r="E1880" s="7"/>
      <c r="F1880" s="7"/>
      <c r="G1880" s="2" t="str">
        <f t="array" ref="G1880">IF(ISBLANK(D1880), "", INDEX(Categories!$B:$B,MATCH(D1880,Categories!$A:$A,0)))</f>
        <v>Educational Services</v>
      </c>
      <c r="H1880" s="7" t="str">
        <f t="array" ref="H1880">IF(ISBLANK(E1880), "", INDEX(Categories!$B:$B,MATCH(E1880,Categories!$A:$A,0)))</f>
        <v/>
      </c>
      <c r="I1880" s="7" t="str">
        <f t="array" ref="I1880">IF(ISBLANK(F1880), "", INDEX(Categories!$B:$B,MATCH(F1880,Categories!$A:$A,0)))</f>
        <v/>
      </c>
      <c r="J1880" s="4"/>
      <c r="K1880" s="4"/>
      <c r="L1880" s="4"/>
      <c r="M1880" s="4"/>
      <c r="N1880" s="4"/>
      <c r="O1880" s="4"/>
      <c r="P1880" s="4"/>
      <c r="Q1880" s="4"/>
    </row>
    <row r="1881">
      <c r="A1881" s="5">
        <v>1880.0</v>
      </c>
      <c r="B1881" s="5" t="s">
        <v>2349</v>
      </c>
      <c r="C1881" s="5" t="s">
        <v>2350</v>
      </c>
      <c r="D1881" s="6">
        <f>IFERROR(__xludf.DUMMYFUNCTION("SPLIT(MID(C1881,2,LEN(C1881)-2), "","")"),270.0)</f>
        <v>270</v>
      </c>
      <c r="E1881" s="7"/>
      <c r="F1881" s="7"/>
      <c r="G1881" s="2" t="str">
        <f t="array" ref="G1881">IF(ISBLANK(D1881), "", INDEX(Categories!$B:$B,MATCH(D1881,Categories!$A:$A,0)))</f>
        <v>Office &amp; Desk Space Rental Service</v>
      </c>
      <c r="H1881" s="7" t="str">
        <f t="array" ref="H1881">IF(ISBLANK(E1881), "", INDEX(Categories!$B:$B,MATCH(E1881,Categories!$A:$A,0)))</f>
        <v/>
      </c>
      <c r="I1881" s="7" t="str">
        <f t="array" ref="I1881">IF(ISBLANK(F1881), "", INDEX(Categories!$B:$B,MATCH(F1881,Categories!$A:$A,0)))</f>
        <v/>
      </c>
      <c r="J1881" s="4"/>
      <c r="K1881" s="4"/>
      <c r="L1881" s="4"/>
      <c r="M1881" s="4"/>
      <c r="N1881" s="4"/>
      <c r="O1881" s="4"/>
      <c r="P1881" s="4"/>
      <c r="Q1881" s="4"/>
    </row>
    <row r="1882">
      <c r="A1882" s="5">
        <v>1881.0</v>
      </c>
      <c r="B1882" s="5" t="s">
        <v>2351</v>
      </c>
      <c r="C1882" s="5" t="s">
        <v>760</v>
      </c>
      <c r="D1882" s="6">
        <f>IFERROR(__xludf.DUMMYFUNCTION("SPLIT(MID(C1882,2,LEN(C1882)-2), "","")"),1246.0)</f>
        <v>1246</v>
      </c>
      <c r="E1882" s="7"/>
      <c r="F1882" s="7"/>
      <c r="G1882" s="2" t="str">
        <f t="array" ref="G1882">IF(ISBLANK(D1882), "", INDEX(Categories!$B:$B,MATCH(D1882,Categories!$A:$A,0)))</f>
        <v>Clothing</v>
      </c>
      <c r="H1882" s="7" t="str">
        <f t="array" ref="H1882">IF(ISBLANK(E1882), "", INDEX(Categories!$B:$B,MATCH(E1882,Categories!$A:$A,0)))</f>
        <v/>
      </c>
      <c r="I1882" s="7" t="str">
        <f t="array" ref="I1882">IF(ISBLANK(F1882), "", INDEX(Categories!$B:$B,MATCH(F1882,Categories!$A:$A,0)))</f>
        <v/>
      </c>
      <c r="J1882" s="4"/>
      <c r="K1882" s="4"/>
      <c r="L1882" s="4"/>
      <c r="M1882" s="4"/>
      <c r="N1882" s="4"/>
      <c r="O1882" s="4"/>
      <c r="P1882" s="4"/>
      <c r="Q1882" s="4"/>
    </row>
    <row r="1883">
      <c r="A1883" s="5">
        <v>1882.0</v>
      </c>
      <c r="B1883" s="5" t="s">
        <v>2352</v>
      </c>
      <c r="C1883" s="5" t="s">
        <v>760</v>
      </c>
      <c r="D1883" s="6">
        <f>IFERROR(__xludf.DUMMYFUNCTION("SPLIT(MID(C1883,2,LEN(C1883)-2), "","")"),1246.0)</f>
        <v>1246</v>
      </c>
      <c r="E1883" s="7"/>
      <c r="F1883" s="7"/>
      <c r="G1883" s="2" t="str">
        <f t="array" ref="G1883">IF(ISBLANK(D1883), "", INDEX(Categories!$B:$B,MATCH(D1883,Categories!$A:$A,0)))</f>
        <v>Clothing</v>
      </c>
      <c r="H1883" s="7" t="str">
        <f t="array" ref="H1883">IF(ISBLANK(E1883), "", INDEX(Categories!$B:$B,MATCH(E1883,Categories!$A:$A,0)))</f>
        <v/>
      </c>
      <c r="I1883" s="7" t="str">
        <f t="array" ref="I1883">IF(ISBLANK(F1883), "", INDEX(Categories!$B:$B,MATCH(F1883,Categories!$A:$A,0)))</f>
        <v/>
      </c>
      <c r="J1883" s="4"/>
      <c r="K1883" s="4"/>
      <c r="L1883" s="4"/>
      <c r="M1883" s="4"/>
      <c r="N1883" s="4"/>
      <c r="O1883" s="4"/>
      <c r="P1883" s="4"/>
      <c r="Q1883" s="4"/>
    </row>
    <row r="1884">
      <c r="A1884" s="5">
        <v>1883.0</v>
      </c>
      <c r="B1884" s="5" t="s">
        <v>2353</v>
      </c>
      <c r="C1884" s="5" t="s">
        <v>2338</v>
      </c>
      <c r="D1884" s="6">
        <f>IFERROR(__xludf.DUMMYFUNCTION("SPLIT(MID(C1884,2,LEN(C1884)-2), "","")"),567.0)</f>
        <v>567</v>
      </c>
      <c r="E1884" s="7"/>
      <c r="F1884" s="7"/>
      <c r="G1884" s="2" t="str">
        <f t="array" ref="G1884">IF(ISBLANK(D1884), "", INDEX(Categories!$B:$B,MATCH(D1884,Categories!$A:$A,0)))</f>
        <v>Contractors - Painting</v>
      </c>
      <c r="H1884" s="7" t="str">
        <f t="array" ref="H1884">IF(ISBLANK(E1884), "", INDEX(Categories!$B:$B,MATCH(E1884,Categories!$A:$A,0)))</f>
        <v/>
      </c>
      <c r="I1884" s="7" t="str">
        <f t="array" ref="I1884">IF(ISBLANK(F1884), "", INDEX(Categories!$B:$B,MATCH(F1884,Categories!$A:$A,0)))</f>
        <v/>
      </c>
      <c r="J1884" s="4"/>
      <c r="K1884" s="4"/>
      <c r="L1884" s="4"/>
      <c r="M1884" s="4"/>
      <c r="N1884" s="4"/>
      <c r="O1884" s="4"/>
      <c r="P1884" s="4"/>
      <c r="Q1884" s="4"/>
    </row>
    <row r="1885">
      <c r="A1885" s="5">
        <v>1884.0</v>
      </c>
      <c r="B1885" s="5" t="s">
        <v>2354</v>
      </c>
      <c r="C1885" s="5" t="s">
        <v>1736</v>
      </c>
      <c r="D1885" s="6">
        <f>IFERROR(__xludf.DUMMYFUNCTION("SPLIT(MID(C1885,2,LEN(C1885)-2), "","")"),2618.0)</f>
        <v>2618</v>
      </c>
      <c r="E1885" s="7"/>
      <c r="F1885" s="7"/>
      <c r="G1885" s="2" t="str">
        <f t="array" ref="G1885">IF(ISBLANK(D1885), "", INDEX(Categories!$B:$B,MATCH(D1885,Categories!$A:$A,0)))</f>
        <v>Kitchen Cabinets &amp; Accessories</v>
      </c>
      <c r="H1885" s="7" t="str">
        <f t="array" ref="H1885">IF(ISBLANK(E1885), "", INDEX(Categories!$B:$B,MATCH(E1885,Categories!$A:$A,0)))</f>
        <v/>
      </c>
      <c r="I1885" s="7" t="str">
        <f t="array" ref="I1885">IF(ISBLANK(F1885), "", INDEX(Categories!$B:$B,MATCH(F1885,Categories!$A:$A,0)))</f>
        <v/>
      </c>
      <c r="J1885" s="4"/>
      <c r="K1885" s="4"/>
      <c r="L1885" s="4"/>
      <c r="M1885" s="4"/>
      <c r="N1885" s="4"/>
      <c r="O1885" s="4"/>
      <c r="P1885" s="4"/>
      <c r="Q1885" s="4"/>
    </row>
    <row r="1886">
      <c r="A1886" s="5">
        <v>1885.0</v>
      </c>
      <c r="B1886" s="5" t="s">
        <v>2355</v>
      </c>
      <c r="C1886" s="5" t="s">
        <v>69</v>
      </c>
      <c r="D1886" s="6">
        <f>IFERROR(__xludf.DUMMYFUNCTION("SPLIT(MID(C1886,2,LEN(C1886)-2), "","")"),293.0)</f>
        <v>293</v>
      </c>
      <c r="E1886" s="7"/>
      <c r="F1886" s="7"/>
      <c r="G1886" s="2" t="str">
        <f t="array" ref="G1886">IF(ISBLANK(D1886), "", INDEX(Categories!$B:$B,MATCH(D1886,Categories!$A:$A,0)))</f>
        <v>Banks Commercial</v>
      </c>
      <c r="H1886" s="7" t="str">
        <f t="array" ref="H1886">IF(ISBLANK(E1886), "", INDEX(Categories!$B:$B,MATCH(E1886,Categories!$A:$A,0)))</f>
        <v/>
      </c>
      <c r="I1886" s="7" t="str">
        <f t="array" ref="I1886">IF(ISBLANK(F1886), "", INDEX(Categories!$B:$B,MATCH(F1886,Categories!$A:$A,0)))</f>
        <v/>
      </c>
      <c r="J1886" s="4"/>
      <c r="K1886" s="4"/>
      <c r="L1886" s="4"/>
      <c r="M1886" s="4"/>
      <c r="N1886" s="4"/>
      <c r="O1886" s="4"/>
      <c r="P1886" s="4"/>
      <c r="Q1886" s="4"/>
    </row>
    <row r="1887">
      <c r="A1887" s="5">
        <v>1886.0</v>
      </c>
      <c r="B1887" s="5" t="s">
        <v>2356</v>
      </c>
      <c r="C1887" s="5" t="s">
        <v>730</v>
      </c>
      <c r="D1887" s="6">
        <f>IFERROR(__xludf.DUMMYFUNCTION("SPLIT(MID(C1887,2,LEN(C1887)-2), "","")"),2765.0)</f>
        <v>2765</v>
      </c>
      <c r="E1887" s="7"/>
      <c r="F1887" s="7"/>
      <c r="G1887" s="2" t="str">
        <f t="array" ref="G1887">IF(ISBLANK(D1887), "", INDEX(Categories!$B:$B,MATCH(D1887,Categories!$A:$A,0)))</f>
        <v>Miscellaneous Business Services</v>
      </c>
      <c r="H1887" s="7" t="str">
        <f t="array" ref="H1887">IF(ISBLANK(E1887), "", INDEX(Categories!$B:$B,MATCH(E1887,Categories!$A:$A,0)))</f>
        <v/>
      </c>
      <c r="I1887" s="7" t="str">
        <f t="array" ref="I1887">IF(ISBLANK(F1887), "", INDEX(Categories!$B:$B,MATCH(F1887,Categories!$A:$A,0)))</f>
        <v/>
      </c>
      <c r="J1887" s="4"/>
      <c r="K1887" s="4"/>
      <c r="L1887" s="4"/>
      <c r="M1887" s="4"/>
      <c r="N1887" s="4"/>
      <c r="O1887" s="4"/>
      <c r="P1887" s="4"/>
      <c r="Q1887" s="4"/>
    </row>
    <row r="1888">
      <c r="A1888" s="5">
        <v>1887.0</v>
      </c>
      <c r="B1888" s="5" t="s">
        <v>2357</v>
      </c>
      <c r="C1888" s="5" t="s">
        <v>69</v>
      </c>
      <c r="D1888" s="6">
        <f>IFERROR(__xludf.DUMMYFUNCTION("SPLIT(MID(C1888,2,LEN(C1888)-2), "","")"),293.0)</f>
        <v>293</v>
      </c>
      <c r="E1888" s="7"/>
      <c r="F1888" s="7"/>
      <c r="G1888" s="2" t="str">
        <f t="array" ref="G1888">IF(ISBLANK(D1888), "", INDEX(Categories!$B:$B,MATCH(D1888,Categories!$A:$A,0)))</f>
        <v>Banks Commercial</v>
      </c>
      <c r="H1888" s="7" t="str">
        <f t="array" ref="H1888">IF(ISBLANK(E1888), "", INDEX(Categories!$B:$B,MATCH(E1888,Categories!$A:$A,0)))</f>
        <v/>
      </c>
      <c r="I1888" s="7" t="str">
        <f t="array" ref="I1888">IF(ISBLANK(F1888), "", INDEX(Categories!$B:$B,MATCH(F1888,Categories!$A:$A,0)))</f>
        <v/>
      </c>
      <c r="J1888" s="4"/>
      <c r="K1888" s="4"/>
      <c r="L1888" s="4"/>
      <c r="M1888" s="4"/>
      <c r="N1888" s="4"/>
      <c r="O1888" s="4"/>
      <c r="P1888" s="4"/>
      <c r="Q1888" s="4"/>
    </row>
    <row r="1889">
      <c r="A1889" s="5">
        <v>1888.0</v>
      </c>
      <c r="B1889" s="5" t="s">
        <v>2358</v>
      </c>
      <c r="C1889" s="5" t="s">
        <v>2359</v>
      </c>
      <c r="D1889" s="6">
        <f>IFERROR(__xludf.DUMMYFUNCTION("SPLIT(MID(C1889,2,LEN(C1889)-2), "","")"),2174.0)</f>
        <v>2174</v>
      </c>
      <c r="E1889" s="7"/>
      <c r="F1889" s="7"/>
      <c r="G1889" s="2" t="str">
        <f t="array" ref="G1889">IF(ISBLANK(D1889), "", INDEX(Categories!$B:$B,MATCH(D1889,Categories!$A:$A,0)))</f>
        <v>Crane Services</v>
      </c>
      <c r="H1889" s="7" t="str">
        <f t="array" ref="H1889">IF(ISBLANK(E1889), "", INDEX(Categories!$B:$B,MATCH(E1889,Categories!$A:$A,0)))</f>
        <v/>
      </c>
      <c r="I1889" s="7" t="str">
        <f t="array" ref="I1889">IF(ISBLANK(F1889), "", INDEX(Categories!$B:$B,MATCH(F1889,Categories!$A:$A,0)))</f>
        <v/>
      </c>
      <c r="J1889" s="4"/>
      <c r="K1889" s="4"/>
      <c r="L1889" s="4"/>
      <c r="M1889" s="4"/>
      <c r="N1889" s="4"/>
      <c r="O1889" s="4"/>
      <c r="P1889" s="4"/>
      <c r="Q1889" s="4"/>
    </row>
    <row r="1890">
      <c r="A1890" s="5">
        <v>1889.0</v>
      </c>
      <c r="B1890" s="5" t="s">
        <v>2360</v>
      </c>
      <c r="C1890" s="5" t="s">
        <v>2361</v>
      </c>
      <c r="D1890" s="6">
        <f>IFERROR(__xludf.DUMMYFUNCTION("SPLIT(MID(C1890,2,LEN(C1890)-2), "","")"),1921.0)</f>
        <v>1921</v>
      </c>
      <c r="E1890" s="7"/>
      <c r="F1890" s="7"/>
      <c r="G1890" s="2" t="str">
        <f t="array" ref="G1890">IF(ISBLANK(D1890), "", INDEX(Categories!$B:$B,MATCH(D1890,Categories!$A:$A,0)))</f>
        <v>Drug Screening Or Detection Service</v>
      </c>
      <c r="H1890" s="7" t="str">
        <f t="array" ref="H1890">IF(ISBLANK(E1890), "", INDEX(Categories!$B:$B,MATCH(E1890,Categories!$A:$A,0)))</f>
        <v/>
      </c>
      <c r="I1890" s="7" t="str">
        <f t="array" ref="I1890">IF(ISBLANK(F1890), "", INDEX(Categories!$B:$B,MATCH(F1890,Categories!$A:$A,0)))</f>
        <v/>
      </c>
      <c r="J1890" s="4"/>
      <c r="K1890" s="4"/>
      <c r="L1890" s="4"/>
      <c r="M1890" s="4"/>
      <c r="N1890" s="4"/>
      <c r="O1890" s="4"/>
      <c r="P1890" s="4"/>
      <c r="Q1890" s="4"/>
    </row>
    <row r="1891">
      <c r="A1891" s="5">
        <v>1890.0</v>
      </c>
      <c r="B1891" s="5" t="s">
        <v>2362</v>
      </c>
      <c r="C1891" s="5" t="s">
        <v>2363</v>
      </c>
      <c r="D1891" s="6">
        <f>IFERROR(__xludf.DUMMYFUNCTION("SPLIT(MID(C1891,2,LEN(C1891)-2), "","")"),10.0)</f>
        <v>10</v>
      </c>
      <c r="E1891" s="7"/>
      <c r="F1891" s="7"/>
      <c r="G1891" s="2" t="str">
        <f t="array" ref="G1891">IF(ISBLANK(D1891), "", INDEX(Categories!$B:$B,MATCH(D1891,Categories!$A:$A,0)))</f>
        <v>Automotive Consultant</v>
      </c>
      <c r="H1891" s="7" t="str">
        <f t="array" ref="H1891">IF(ISBLANK(E1891), "", INDEX(Categories!$B:$B,MATCH(E1891,Categories!$A:$A,0)))</f>
        <v/>
      </c>
      <c r="I1891" s="7" t="str">
        <f t="array" ref="I1891">IF(ISBLANK(F1891), "", INDEX(Categories!$B:$B,MATCH(F1891,Categories!$A:$A,0)))</f>
        <v/>
      </c>
      <c r="J1891" s="4"/>
      <c r="K1891" s="4"/>
      <c r="L1891" s="4"/>
      <c r="M1891" s="4"/>
      <c r="N1891" s="4"/>
      <c r="O1891" s="4"/>
      <c r="P1891" s="4"/>
      <c r="Q1891" s="4"/>
    </row>
    <row r="1892">
      <c r="A1892" s="5">
        <v>1891.0</v>
      </c>
      <c r="B1892" s="5" t="s">
        <v>2364</v>
      </c>
      <c r="C1892" s="5" t="s">
        <v>69</v>
      </c>
      <c r="D1892" s="6">
        <f>IFERROR(__xludf.DUMMYFUNCTION("SPLIT(MID(C1892,2,LEN(C1892)-2), "","")"),293.0)</f>
        <v>293</v>
      </c>
      <c r="E1892" s="7"/>
      <c r="F1892" s="7"/>
      <c r="G1892" s="2" t="str">
        <f t="array" ref="G1892">IF(ISBLANK(D1892), "", INDEX(Categories!$B:$B,MATCH(D1892,Categories!$A:$A,0)))</f>
        <v>Banks Commercial</v>
      </c>
      <c r="H1892" s="7" t="str">
        <f t="array" ref="H1892">IF(ISBLANK(E1892), "", INDEX(Categories!$B:$B,MATCH(E1892,Categories!$A:$A,0)))</f>
        <v/>
      </c>
      <c r="I1892" s="7" t="str">
        <f t="array" ref="I1892">IF(ISBLANK(F1892), "", INDEX(Categories!$B:$B,MATCH(F1892,Categories!$A:$A,0)))</f>
        <v/>
      </c>
      <c r="J1892" s="4"/>
      <c r="K1892" s="4"/>
      <c r="L1892" s="4"/>
      <c r="M1892" s="4"/>
      <c r="N1892" s="4"/>
      <c r="O1892" s="4"/>
      <c r="P1892" s="4"/>
      <c r="Q1892" s="4"/>
    </row>
    <row r="1893">
      <c r="A1893" s="5">
        <v>1892.0</v>
      </c>
      <c r="B1893" s="5" t="s">
        <v>2365</v>
      </c>
      <c r="C1893" s="5" t="s">
        <v>69</v>
      </c>
      <c r="D1893" s="6">
        <f>IFERROR(__xludf.DUMMYFUNCTION("SPLIT(MID(C1893,2,LEN(C1893)-2), "","")"),293.0)</f>
        <v>293</v>
      </c>
      <c r="E1893" s="7"/>
      <c r="F1893" s="7"/>
      <c r="G1893" s="2" t="str">
        <f t="array" ref="G1893">IF(ISBLANK(D1893), "", INDEX(Categories!$B:$B,MATCH(D1893,Categories!$A:$A,0)))</f>
        <v>Banks Commercial</v>
      </c>
      <c r="H1893" s="7" t="str">
        <f t="array" ref="H1893">IF(ISBLANK(E1893), "", INDEX(Categories!$B:$B,MATCH(E1893,Categories!$A:$A,0)))</f>
        <v/>
      </c>
      <c r="I1893" s="7" t="str">
        <f t="array" ref="I1893">IF(ISBLANK(F1893), "", INDEX(Categories!$B:$B,MATCH(F1893,Categories!$A:$A,0)))</f>
        <v/>
      </c>
      <c r="J1893" s="4"/>
      <c r="K1893" s="4"/>
      <c r="L1893" s="4"/>
      <c r="M1893" s="4"/>
      <c r="N1893" s="4"/>
      <c r="O1893" s="4"/>
      <c r="P1893" s="4"/>
      <c r="Q1893" s="4"/>
    </row>
    <row r="1894">
      <c r="A1894" s="5">
        <v>1893.0</v>
      </c>
      <c r="B1894" s="5" t="s">
        <v>2366</v>
      </c>
      <c r="C1894" s="5" t="s">
        <v>69</v>
      </c>
      <c r="D1894" s="6">
        <f>IFERROR(__xludf.DUMMYFUNCTION("SPLIT(MID(C1894,2,LEN(C1894)-2), "","")"),293.0)</f>
        <v>293</v>
      </c>
      <c r="E1894" s="7"/>
      <c r="F1894" s="7"/>
      <c r="G1894" s="2" t="str">
        <f t="array" ref="G1894">IF(ISBLANK(D1894), "", INDEX(Categories!$B:$B,MATCH(D1894,Categories!$A:$A,0)))</f>
        <v>Banks Commercial</v>
      </c>
      <c r="H1894" s="7" t="str">
        <f t="array" ref="H1894">IF(ISBLANK(E1894), "", INDEX(Categories!$B:$B,MATCH(E1894,Categories!$A:$A,0)))</f>
        <v/>
      </c>
      <c r="I1894" s="7" t="str">
        <f t="array" ref="I1894">IF(ISBLANK(F1894), "", INDEX(Categories!$B:$B,MATCH(F1894,Categories!$A:$A,0)))</f>
        <v/>
      </c>
      <c r="J1894" s="4"/>
      <c r="K1894" s="4"/>
      <c r="L1894" s="4"/>
      <c r="M1894" s="4"/>
      <c r="N1894" s="4"/>
      <c r="O1894" s="4"/>
      <c r="P1894" s="4"/>
      <c r="Q1894" s="4"/>
    </row>
    <row r="1895">
      <c r="A1895" s="5">
        <v>1894.0</v>
      </c>
      <c r="B1895" s="5" t="s">
        <v>2367</v>
      </c>
      <c r="C1895" s="5" t="s">
        <v>69</v>
      </c>
      <c r="D1895" s="6">
        <f>IFERROR(__xludf.DUMMYFUNCTION("SPLIT(MID(C1895,2,LEN(C1895)-2), "","")"),293.0)</f>
        <v>293</v>
      </c>
      <c r="E1895" s="7"/>
      <c r="F1895" s="7"/>
      <c r="G1895" s="2" t="str">
        <f t="array" ref="G1895">IF(ISBLANK(D1895), "", INDEX(Categories!$B:$B,MATCH(D1895,Categories!$A:$A,0)))</f>
        <v>Banks Commercial</v>
      </c>
      <c r="H1895" s="7" t="str">
        <f t="array" ref="H1895">IF(ISBLANK(E1895), "", INDEX(Categories!$B:$B,MATCH(E1895,Categories!$A:$A,0)))</f>
        <v/>
      </c>
      <c r="I1895" s="7" t="str">
        <f t="array" ref="I1895">IF(ISBLANK(F1895), "", INDEX(Categories!$B:$B,MATCH(F1895,Categories!$A:$A,0)))</f>
        <v/>
      </c>
      <c r="J1895" s="4"/>
      <c r="K1895" s="4"/>
      <c r="L1895" s="4"/>
      <c r="M1895" s="4"/>
      <c r="N1895" s="4"/>
      <c r="O1895" s="4"/>
      <c r="P1895" s="4"/>
      <c r="Q1895" s="4"/>
    </row>
    <row r="1896">
      <c r="A1896" s="5">
        <v>1895.0</v>
      </c>
      <c r="B1896" s="5" t="s">
        <v>2368</v>
      </c>
      <c r="C1896" s="5" t="s">
        <v>626</v>
      </c>
      <c r="D1896" s="6">
        <f>IFERROR(__xludf.DUMMYFUNCTION("SPLIT(MID(C1896,2,LEN(C1896)-2), "","")"),1247.0)</f>
        <v>1247</v>
      </c>
      <c r="E1896" s="7"/>
      <c r="F1896" s="7"/>
      <c r="G1896" s="2" t="str">
        <f t="array" ref="G1896">IF(ISBLANK(D1896), "", INDEX(Categories!$B:$B,MATCH(D1896,Categories!$A:$A,0)))</f>
        <v>Clothing Children &amp; Infant</v>
      </c>
      <c r="H1896" s="7" t="str">
        <f t="array" ref="H1896">IF(ISBLANK(E1896), "", INDEX(Categories!$B:$B,MATCH(E1896,Categories!$A:$A,0)))</f>
        <v/>
      </c>
      <c r="I1896" s="7" t="str">
        <f t="array" ref="I1896">IF(ISBLANK(F1896), "", INDEX(Categories!$B:$B,MATCH(F1896,Categories!$A:$A,0)))</f>
        <v/>
      </c>
      <c r="J1896" s="4"/>
      <c r="K1896" s="4"/>
      <c r="L1896" s="4"/>
      <c r="M1896" s="4"/>
      <c r="N1896" s="4"/>
      <c r="O1896" s="4"/>
      <c r="P1896" s="4"/>
      <c r="Q1896" s="4"/>
    </row>
    <row r="1897">
      <c r="A1897" s="5">
        <v>1896.0</v>
      </c>
      <c r="B1897" s="5" t="s">
        <v>2369</v>
      </c>
      <c r="C1897" s="5" t="s">
        <v>1229</v>
      </c>
      <c r="D1897" s="6">
        <f>IFERROR(__xludf.DUMMYFUNCTION("SPLIT(MID(C1897,2,LEN(C1897)-2), "","")"),2505.0)</f>
        <v>2505</v>
      </c>
      <c r="E1897" s="7"/>
      <c r="F1897" s="7"/>
      <c r="G1897" s="2" t="str">
        <f t="array" ref="G1897">IF(ISBLANK(D1897), "", INDEX(Categories!$B:$B,MATCH(D1897,Categories!$A:$A,0)))</f>
        <v>Internet Services</v>
      </c>
      <c r="H1897" s="7" t="str">
        <f t="array" ref="H1897">IF(ISBLANK(E1897), "", INDEX(Categories!$B:$B,MATCH(E1897,Categories!$A:$A,0)))</f>
        <v/>
      </c>
      <c r="I1897" s="7" t="str">
        <f t="array" ref="I1897">IF(ISBLANK(F1897), "", INDEX(Categories!$B:$B,MATCH(F1897,Categories!$A:$A,0)))</f>
        <v/>
      </c>
      <c r="J1897" s="4"/>
      <c r="K1897" s="4"/>
      <c r="L1897" s="4"/>
      <c r="M1897" s="4"/>
      <c r="N1897" s="4"/>
      <c r="O1897" s="4"/>
      <c r="P1897" s="4"/>
      <c r="Q1897" s="4"/>
    </row>
    <row r="1898">
      <c r="A1898" s="5">
        <v>1897.0</v>
      </c>
      <c r="B1898" s="5" t="s">
        <v>2370</v>
      </c>
      <c r="C1898" s="5" t="s">
        <v>2371</v>
      </c>
      <c r="D1898" s="6">
        <f>IFERROR(__xludf.DUMMYFUNCTION("SPLIT(MID(C1898,2,LEN(C1898)-2), "","")"),296.0)</f>
        <v>296</v>
      </c>
      <c r="E1898" s="7"/>
      <c r="F1898" s="7"/>
      <c r="G1898" s="2" t="str">
        <f t="array" ref="G1898">IF(ISBLANK(D1898), "", INDEX(Categories!$B:$B,MATCH(D1898,Categories!$A:$A,0)))</f>
        <v>Credit Unions</v>
      </c>
      <c r="H1898" s="7" t="str">
        <f t="array" ref="H1898">IF(ISBLANK(E1898), "", INDEX(Categories!$B:$B,MATCH(E1898,Categories!$A:$A,0)))</f>
        <v/>
      </c>
      <c r="I1898" s="7" t="str">
        <f t="array" ref="I1898">IF(ISBLANK(F1898), "", INDEX(Categories!$B:$B,MATCH(F1898,Categories!$A:$A,0)))</f>
        <v/>
      </c>
      <c r="J1898" s="4"/>
      <c r="K1898" s="4"/>
      <c r="L1898" s="4"/>
      <c r="M1898" s="4"/>
      <c r="N1898" s="4"/>
      <c r="O1898" s="4"/>
      <c r="P1898" s="4"/>
      <c r="Q1898" s="4"/>
    </row>
    <row r="1899">
      <c r="A1899" s="5">
        <v>1898.0</v>
      </c>
      <c r="B1899" s="5" t="s">
        <v>2372</v>
      </c>
      <c r="C1899" s="5" t="s">
        <v>2286</v>
      </c>
      <c r="D1899" s="6">
        <f>IFERROR(__xludf.DUMMYFUNCTION("SPLIT(MID(C1899,2,LEN(C1899)-2), "","")"),80.0)</f>
        <v>80</v>
      </c>
      <c r="E1899" s="7"/>
      <c r="F1899" s="7"/>
      <c r="G1899" s="2" t="str">
        <f t="array" ref="G1899">IF(ISBLANK(D1899), "", INDEX(Categories!$B:$B,MATCH(D1899,Categories!$A:$A,0)))</f>
        <v>Dentists</v>
      </c>
      <c r="H1899" s="7" t="str">
        <f t="array" ref="H1899">IF(ISBLANK(E1899), "", INDEX(Categories!$B:$B,MATCH(E1899,Categories!$A:$A,0)))</f>
        <v/>
      </c>
      <c r="I1899" s="7" t="str">
        <f t="array" ref="I1899">IF(ISBLANK(F1899), "", INDEX(Categories!$B:$B,MATCH(F1899,Categories!$A:$A,0)))</f>
        <v/>
      </c>
      <c r="J1899" s="4"/>
      <c r="K1899" s="4"/>
      <c r="L1899" s="4"/>
      <c r="M1899" s="4"/>
      <c r="N1899" s="4"/>
      <c r="O1899" s="4"/>
      <c r="P1899" s="4"/>
      <c r="Q1899" s="4"/>
    </row>
    <row r="1900">
      <c r="A1900" s="5">
        <v>1899.0</v>
      </c>
      <c r="B1900" s="5" t="s">
        <v>2373</v>
      </c>
      <c r="C1900" s="5" t="s">
        <v>2374</v>
      </c>
      <c r="D1900" s="6">
        <f>IFERROR(__xludf.DUMMYFUNCTION("SPLIT(MID(C1900,2,LEN(C1900)-2), "","")"),1799.0)</f>
        <v>1799</v>
      </c>
      <c r="E1900" s="7"/>
      <c r="F1900" s="7"/>
      <c r="G1900" s="2" t="str">
        <f t="array" ref="G1900">IF(ISBLANK(D1900), "", INDEX(Categories!$B:$B,MATCH(D1900,Categories!$A:$A,0)))</f>
        <v>Courts &amp; Judges</v>
      </c>
      <c r="H1900" s="7" t="str">
        <f t="array" ref="H1900">IF(ISBLANK(E1900), "", INDEX(Categories!$B:$B,MATCH(E1900,Categories!$A:$A,0)))</f>
        <v/>
      </c>
      <c r="I1900" s="7" t="str">
        <f t="array" ref="I1900">IF(ISBLANK(F1900), "", INDEX(Categories!$B:$B,MATCH(F1900,Categories!$A:$A,0)))</f>
        <v/>
      </c>
      <c r="J1900" s="4"/>
      <c r="K1900" s="4"/>
      <c r="L1900" s="4"/>
      <c r="M1900" s="4"/>
      <c r="N1900" s="4"/>
      <c r="O1900" s="4"/>
      <c r="P1900" s="4"/>
      <c r="Q1900" s="4"/>
    </row>
    <row r="1901">
      <c r="A1901" s="5">
        <v>1900.0</v>
      </c>
      <c r="B1901" s="5" t="s">
        <v>2375</v>
      </c>
      <c r="C1901" s="5" t="s">
        <v>2376</v>
      </c>
      <c r="D1901" s="6">
        <f>IFERROR(__xludf.DUMMYFUNCTION("SPLIT(MID(C1901,2,LEN(C1901)-2), "","")"),516.0)</f>
        <v>516</v>
      </c>
      <c r="E1901" s="7"/>
      <c r="F1901" s="7"/>
      <c r="G1901" s="2" t="str">
        <f t="array" ref="G1901">IF(ISBLANK(D1901), "", INDEX(Categories!$B:$B,MATCH(D1901,Categories!$A:$A,0)))</f>
        <v>Laser Vision Correction</v>
      </c>
      <c r="H1901" s="7" t="str">
        <f t="array" ref="H1901">IF(ISBLANK(E1901), "", INDEX(Categories!$B:$B,MATCH(E1901,Categories!$A:$A,0)))</f>
        <v/>
      </c>
      <c r="I1901" s="7" t="str">
        <f t="array" ref="I1901">IF(ISBLANK(F1901), "", INDEX(Categories!$B:$B,MATCH(F1901,Categories!$A:$A,0)))</f>
        <v/>
      </c>
      <c r="J1901" s="4"/>
      <c r="K1901" s="4"/>
      <c r="L1901" s="4"/>
      <c r="M1901" s="4"/>
      <c r="N1901" s="4"/>
      <c r="O1901" s="4"/>
      <c r="P1901" s="4"/>
      <c r="Q1901" s="4"/>
    </row>
    <row r="1902">
      <c r="A1902" s="5">
        <v>1901.0</v>
      </c>
      <c r="B1902" s="5" t="s">
        <v>2377</v>
      </c>
      <c r="C1902" s="5" t="s">
        <v>161</v>
      </c>
      <c r="D1902" s="6">
        <f>IFERROR(__xludf.DUMMYFUNCTION("SPLIT(MID(C1902,2,LEN(C1902)-2), "","")"),1835.0)</f>
        <v>1835</v>
      </c>
      <c r="E1902" s="7"/>
      <c r="F1902" s="7"/>
      <c r="G1902" s="2" t="str">
        <f t="array" ref="G1902">IF(ISBLANK(D1902), "", INDEX(Categories!$B:$B,MATCH(D1902,Categories!$A:$A,0)))</f>
        <v>Optical Goods</v>
      </c>
      <c r="H1902" s="7" t="str">
        <f t="array" ref="H1902">IF(ISBLANK(E1902), "", INDEX(Categories!$B:$B,MATCH(E1902,Categories!$A:$A,0)))</f>
        <v/>
      </c>
      <c r="I1902" s="7" t="str">
        <f t="array" ref="I1902">IF(ISBLANK(F1902), "", INDEX(Categories!$B:$B,MATCH(F1902,Categories!$A:$A,0)))</f>
        <v/>
      </c>
      <c r="J1902" s="4"/>
      <c r="K1902" s="4"/>
      <c r="L1902" s="4"/>
      <c r="M1902" s="4"/>
      <c r="N1902" s="4"/>
      <c r="O1902" s="4"/>
      <c r="P1902" s="4"/>
      <c r="Q1902" s="4"/>
    </row>
    <row r="1903">
      <c r="A1903" s="5">
        <v>1902.0</v>
      </c>
      <c r="B1903" s="5" t="s">
        <v>2378</v>
      </c>
      <c r="C1903" s="5" t="s">
        <v>2379</v>
      </c>
      <c r="D1903" s="6">
        <f>IFERROR(__xludf.DUMMYFUNCTION("SPLIT(MID(C1903,2,LEN(C1903)-2), "","")"),1837.0)</f>
        <v>1837</v>
      </c>
      <c r="E1903" s="7"/>
      <c r="F1903" s="7"/>
      <c r="G1903" s="2" t="str">
        <f t="array" ref="G1903">IF(ISBLANK(D1903), "", INDEX(Categories!$B:$B,MATCH(D1903,Categories!$A:$A,0)))</f>
        <v>Opticians</v>
      </c>
      <c r="H1903" s="7" t="str">
        <f t="array" ref="H1903">IF(ISBLANK(E1903), "", INDEX(Categories!$B:$B,MATCH(E1903,Categories!$A:$A,0)))</f>
        <v/>
      </c>
      <c r="I1903" s="7" t="str">
        <f t="array" ref="I1903">IF(ISBLANK(F1903), "", INDEX(Categories!$B:$B,MATCH(F1903,Categories!$A:$A,0)))</f>
        <v/>
      </c>
      <c r="J1903" s="4"/>
      <c r="K1903" s="4"/>
      <c r="L1903" s="4"/>
      <c r="M1903" s="4"/>
      <c r="N1903" s="4"/>
      <c r="O1903" s="4"/>
      <c r="P1903" s="4"/>
      <c r="Q1903" s="4"/>
    </row>
    <row r="1904">
      <c r="A1904" s="5">
        <v>1903.0</v>
      </c>
      <c r="B1904" s="5" t="s">
        <v>2380</v>
      </c>
      <c r="C1904" s="5" t="s">
        <v>2381</v>
      </c>
      <c r="D1904" s="6">
        <f>IFERROR(__xludf.DUMMYFUNCTION("SPLIT(MID(C1904,2,LEN(C1904)-2), "","")"),2599.0)</f>
        <v>2599</v>
      </c>
      <c r="E1904" s="7"/>
      <c r="F1904" s="7"/>
      <c r="G1904" s="2" t="str">
        <f t="array" ref="G1904">IF(ISBLANK(D1904), "", INDEX(Categories!$B:$B,MATCH(D1904,Categories!$A:$A,0)))</f>
        <v>Gymnasiums</v>
      </c>
      <c r="H1904" s="7" t="str">
        <f t="array" ref="H1904">IF(ISBLANK(E1904), "", INDEX(Categories!$B:$B,MATCH(E1904,Categories!$A:$A,0)))</f>
        <v/>
      </c>
      <c r="I1904" s="7" t="str">
        <f t="array" ref="I1904">IF(ISBLANK(F1904), "", INDEX(Categories!$B:$B,MATCH(F1904,Categories!$A:$A,0)))</f>
        <v/>
      </c>
      <c r="J1904" s="4"/>
      <c r="K1904" s="4"/>
      <c r="L1904" s="4"/>
      <c r="M1904" s="4"/>
      <c r="N1904" s="4"/>
      <c r="O1904" s="4"/>
      <c r="P1904" s="4"/>
      <c r="Q1904" s="4"/>
    </row>
    <row r="1905">
      <c r="A1905" s="5">
        <v>1904.0</v>
      </c>
      <c r="B1905" s="5" t="s">
        <v>2382</v>
      </c>
      <c r="C1905" s="5" t="s">
        <v>631</v>
      </c>
      <c r="D1905" s="6">
        <f>IFERROR(__xludf.DUMMYFUNCTION("SPLIT(MID(C1905,2,LEN(C1905)-2), "","")"),25.0)</f>
        <v>25</v>
      </c>
      <c r="E1905" s="7"/>
      <c r="F1905" s="7"/>
      <c r="G1905" s="2" t="str">
        <f t="array" ref="G1905">IF(ISBLANK(D1905), "", INDEX(Categories!$B:$B,MATCH(D1905,Categories!$A:$A,0)))</f>
        <v>Furniture Dealers</v>
      </c>
      <c r="H1905" s="7" t="str">
        <f t="array" ref="H1905">IF(ISBLANK(E1905), "", INDEX(Categories!$B:$B,MATCH(E1905,Categories!$A:$A,0)))</f>
        <v/>
      </c>
      <c r="I1905" s="7" t="str">
        <f t="array" ref="I1905">IF(ISBLANK(F1905), "", INDEX(Categories!$B:$B,MATCH(F1905,Categories!$A:$A,0)))</f>
        <v/>
      </c>
      <c r="J1905" s="4"/>
      <c r="K1905" s="4"/>
      <c r="L1905" s="4"/>
      <c r="M1905" s="4"/>
      <c r="N1905" s="4"/>
      <c r="O1905" s="4"/>
      <c r="P1905" s="4"/>
      <c r="Q1905" s="4"/>
    </row>
    <row r="1906">
      <c r="A1906" s="5">
        <v>1905.0</v>
      </c>
      <c r="B1906" s="5" t="s">
        <v>2383</v>
      </c>
      <c r="C1906" s="5" t="s">
        <v>96</v>
      </c>
      <c r="D1906" s="6">
        <f>IFERROR(__xludf.DUMMYFUNCTION("SPLIT(MID(C1906,2,LEN(C1906)-2), "","")"),572.0)</f>
        <v>572</v>
      </c>
      <c r="E1906" s="7"/>
      <c r="F1906" s="7"/>
      <c r="G1906" s="2" t="str">
        <f t="array" ref="G1906">IF(ISBLANK(D1906), "", INDEX(Categories!$B:$B,MATCH(D1906,Categories!$A:$A,0)))</f>
        <v>Groceries</v>
      </c>
      <c r="H1906" s="7" t="str">
        <f t="array" ref="H1906">IF(ISBLANK(E1906), "", INDEX(Categories!$B:$B,MATCH(E1906,Categories!$A:$A,0)))</f>
        <v/>
      </c>
      <c r="I1906" s="7" t="str">
        <f t="array" ref="I1906">IF(ISBLANK(F1906), "", INDEX(Categories!$B:$B,MATCH(F1906,Categories!$A:$A,0)))</f>
        <v/>
      </c>
      <c r="J1906" s="4"/>
      <c r="K1906" s="4"/>
      <c r="L1906" s="4"/>
      <c r="M1906" s="4"/>
      <c r="N1906" s="4"/>
      <c r="O1906" s="4"/>
      <c r="P1906" s="4"/>
      <c r="Q1906" s="4"/>
    </row>
    <row r="1907">
      <c r="A1907" s="5">
        <v>1906.0</v>
      </c>
      <c r="B1907" s="5" t="s">
        <v>2384</v>
      </c>
      <c r="C1907" s="5" t="s">
        <v>170</v>
      </c>
      <c r="D1907" s="6">
        <f>IFERROR(__xludf.DUMMYFUNCTION("SPLIT(MID(C1907,2,LEN(C1907)-2), "","")"),189.0)</f>
        <v>189</v>
      </c>
      <c r="E1907" s="7"/>
      <c r="F1907" s="7"/>
      <c r="G1907" s="2" t="str">
        <f t="array" ref="G1907">IF(ISBLANK(D1907), "", INDEX(Categories!$B:$B,MATCH(D1907,Categories!$A:$A,0)))</f>
        <v>Pharmacies</v>
      </c>
      <c r="H1907" s="7" t="str">
        <f t="array" ref="H1907">IF(ISBLANK(E1907), "", INDEX(Categories!$B:$B,MATCH(E1907,Categories!$A:$A,0)))</f>
        <v/>
      </c>
      <c r="I1907" s="7" t="str">
        <f t="array" ref="I1907">IF(ISBLANK(F1907), "", INDEX(Categories!$B:$B,MATCH(F1907,Categories!$A:$A,0)))</f>
        <v/>
      </c>
      <c r="J1907" s="4"/>
      <c r="K1907" s="4"/>
      <c r="L1907" s="4"/>
      <c r="M1907" s="4"/>
      <c r="N1907" s="4"/>
      <c r="O1907" s="4"/>
      <c r="P1907" s="4"/>
      <c r="Q1907" s="4"/>
    </row>
    <row r="1908">
      <c r="A1908" s="5">
        <v>1907.0</v>
      </c>
      <c r="B1908" s="5" t="s">
        <v>2385</v>
      </c>
      <c r="C1908" s="5" t="s">
        <v>2386</v>
      </c>
      <c r="D1908" s="6">
        <f>IFERROR(__xludf.DUMMYFUNCTION("SPLIT(MID(C1908,2,LEN(C1908)-2), "","")"),2032.0)</f>
        <v>2032</v>
      </c>
      <c r="E1908" s="7"/>
      <c r="F1908" s="7"/>
      <c r="G1908" s="2" t="str">
        <f t="array" ref="G1908">IF(ISBLANK(D1908), "", INDEX(Categories!$B:$B,MATCH(D1908,Categories!$A:$A,0)))</f>
        <v>Hair Replacement</v>
      </c>
      <c r="H1908" s="7" t="str">
        <f t="array" ref="H1908">IF(ISBLANK(E1908), "", INDEX(Categories!$B:$B,MATCH(E1908,Categories!$A:$A,0)))</f>
        <v/>
      </c>
      <c r="I1908" s="7" t="str">
        <f t="array" ref="I1908">IF(ISBLANK(F1908), "", INDEX(Categories!$B:$B,MATCH(F1908,Categories!$A:$A,0)))</f>
        <v/>
      </c>
      <c r="J1908" s="4"/>
      <c r="K1908" s="4"/>
      <c r="L1908" s="4"/>
      <c r="M1908" s="4"/>
      <c r="N1908" s="4"/>
      <c r="O1908" s="4"/>
      <c r="P1908" s="4"/>
      <c r="Q1908" s="4"/>
    </row>
    <row r="1909">
      <c r="A1909" s="5">
        <v>1908.0</v>
      </c>
      <c r="B1909" s="5" t="s">
        <v>2387</v>
      </c>
      <c r="C1909" s="5" t="s">
        <v>2388</v>
      </c>
      <c r="D1909" s="6">
        <f>IFERROR(__xludf.DUMMYFUNCTION("SPLIT(MID(C1909,2,LEN(C1909)-2), "","")"),1229.0)</f>
        <v>1229</v>
      </c>
      <c r="E1909" s="7"/>
      <c r="F1909" s="7"/>
      <c r="G1909" s="2" t="str">
        <f t="array" ref="G1909">IF(ISBLANK(D1909), "", INDEX(Categories!$B:$B,MATCH(D1909,Categories!$A:$A,0)))</f>
        <v>Home Builders</v>
      </c>
      <c r="H1909" s="7" t="str">
        <f t="array" ref="H1909">IF(ISBLANK(E1909), "", INDEX(Categories!$B:$B,MATCH(E1909,Categories!$A:$A,0)))</f>
        <v/>
      </c>
      <c r="I1909" s="7" t="str">
        <f t="array" ref="I1909">IF(ISBLANK(F1909), "", INDEX(Categories!$B:$B,MATCH(F1909,Categories!$A:$A,0)))</f>
        <v/>
      </c>
      <c r="J1909" s="4"/>
      <c r="K1909" s="4"/>
      <c r="L1909" s="4"/>
      <c r="M1909" s="4"/>
      <c r="N1909" s="4"/>
      <c r="O1909" s="4"/>
      <c r="P1909" s="4"/>
      <c r="Q1909" s="4"/>
    </row>
    <row r="1910">
      <c r="A1910" s="5">
        <v>1909.0</v>
      </c>
      <c r="B1910" s="5" t="s">
        <v>2389</v>
      </c>
      <c r="C1910" s="5" t="s">
        <v>691</v>
      </c>
      <c r="D1910" s="6">
        <f>IFERROR(__xludf.DUMMYFUNCTION("SPLIT(MID(C1910,2,LEN(C1910)-2), "","")"),1323.0)</f>
        <v>1323</v>
      </c>
      <c r="E1910" s="7"/>
      <c r="F1910" s="7"/>
      <c r="G1910" s="2" t="str">
        <f t="array" ref="G1910">IF(ISBLANK(D1910), "", INDEX(Categories!$B:$B,MATCH(D1910,Categories!$A:$A,0)))</f>
        <v>Investment Advisory Service</v>
      </c>
      <c r="H1910" s="7" t="str">
        <f t="array" ref="H1910">IF(ISBLANK(E1910), "", INDEX(Categories!$B:$B,MATCH(E1910,Categories!$A:$A,0)))</f>
        <v/>
      </c>
      <c r="I1910" s="7" t="str">
        <f t="array" ref="I1910">IF(ISBLANK(F1910), "", INDEX(Categories!$B:$B,MATCH(F1910,Categories!$A:$A,0)))</f>
        <v/>
      </c>
      <c r="J1910" s="4"/>
      <c r="K1910" s="4"/>
      <c r="L1910" s="4"/>
      <c r="M1910" s="4"/>
      <c r="N1910" s="4"/>
      <c r="O1910" s="4"/>
      <c r="P1910" s="4"/>
      <c r="Q1910" s="4"/>
    </row>
    <row r="1911">
      <c r="A1911" s="5">
        <v>1910.0</v>
      </c>
      <c r="B1911" s="5" t="s">
        <v>2390</v>
      </c>
      <c r="C1911" s="5" t="s">
        <v>691</v>
      </c>
      <c r="D1911" s="6">
        <f>IFERROR(__xludf.DUMMYFUNCTION("SPLIT(MID(C1911,2,LEN(C1911)-2), "","")"),1323.0)</f>
        <v>1323</v>
      </c>
      <c r="E1911" s="7"/>
      <c r="F1911" s="7"/>
      <c r="G1911" s="2" t="str">
        <f t="array" ref="G1911">IF(ISBLANK(D1911), "", INDEX(Categories!$B:$B,MATCH(D1911,Categories!$A:$A,0)))</f>
        <v>Investment Advisory Service</v>
      </c>
      <c r="H1911" s="7" t="str">
        <f t="array" ref="H1911">IF(ISBLANK(E1911), "", INDEX(Categories!$B:$B,MATCH(E1911,Categories!$A:$A,0)))</f>
        <v/>
      </c>
      <c r="I1911" s="7" t="str">
        <f t="array" ref="I1911">IF(ISBLANK(F1911), "", INDEX(Categories!$B:$B,MATCH(F1911,Categories!$A:$A,0)))</f>
        <v/>
      </c>
      <c r="J1911" s="4"/>
      <c r="K1911" s="4"/>
      <c r="L1911" s="4"/>
      <c r="M1911" s="4"/>
      <c r="N1911" s="4"/>
      <c r="O1911" s="4"/>
      <c r="P1911" s="4"/>
      <c r="Q1911" s="4"/>
    </row>
    <row r="1912">
      <c r="A1912" s="5">
        <v>1911.0</v>
      </c>
      <c r="B1912" s="5" t="s">
        <v>2391</v>
      </c>
      <c r="C1912" s="5" t="s">
        <v>1961</v>
      </c>
      <c r="D1912" s="6">
        <f>IFERROR(__xludf.DUMMYFUNCTION("SPLIT(MID(C1912,2,LEN(C1912)-2), "","")"),874.0)</f>
        <v>874</v>
      </c>
      <c r="E1912" s="7"/>
      <c r="F1912" s="7"/>
      <c r="G1912" s="2" t="str">
        <f t="array" ref="G1912">IF(ISBLANK(D1912), "", INDEX(Categories!$B:$B,MATCH(D1912,Categories!$A:$A,0)))</f>
        <v>Musical Instruments</v>
      </c>
      <c r="H1912" s="7" t="str">
        <f t="array" ref="H1912">IF(ISBLANK(E1912), "", INDEX(Categories!$B:$B,MATCH(E1912,Categories!$A:$A,0)))</f>
        <v/>
      </c>
      <c r="I1912" s="7" t="str">
        <f t="array" ref="I1912">IF(ISBLANK(F1912), "", INDEX(Categories!$B:$B,MATCH(F1912,Categories!$A:$A,0)))</f>
        <v/>
      </c>
      <c r="J1912" s="4"/>
      <c r="K1912" s="4"/>
      <c r="L1912" s="4"/>
      <c r="M1912" s="4"/>
      <c r="N1912" s="4"/>
      <c r="O1912" s="4"/>
      <c r="P1912" s="4"/>
      <c r="Q1912" s="4"/>
    </row>
    <row r="1913">
      <c r="A1913" s="5">
        <v>1912.0</v>
      </c>
      <c r="B1913" s="5" t="s">
        <v>2392</v>
      </c>
      <c r="C1913" s="5" t="s">
        <v>207</v>
      </c>
      <c r="D1913" s="6">
        <f>IFERROR(__xludf.DUMMYFUNCTION("SPLIT(MID(C1913,2,LEN(C1913)-2), "","")"),1920.0)</f>
        <v>1920</v>
      </c>
      <c r="E1913" s="7"/>
      <c r="F1913" s="7"/>
      <c r="G1913" s="2" t="str">
        <f t="array" ref="G1913">IF(ISBLANK(D1913), "", INDEX(Categories!$B:$B,MATCH(D1913,Categories!$A:$A,0)))</f>
        <v>Medical Laboratories</v>
      </c>
      <c r="H1913" s="7" t="str">
        <f t="array" ref="H1913">IF(ISBLANK(E1913), "", INDEX(Categories!$B:$B,MATCH(E1913,Categories!$A:$A,0)))</f>
        <v/>
      </c>
      <c r="I1913" s="7" t="str">
        <f t="array" ref="I1913">IF(ISBLANK(F1913), "", INDEX(Categories!$B:$B,MATCH(F1913,Categories!$A:$A,0)))</f>
        <v/>
      </c>
      <c r="J1913" s="4"/>
      <c r="K1913" s="4"/>
      <c r="L1913" s="4"/>
      <c r="M1913" s="4"/>
      <c r="N1913" s="4"/>
      <c r="O1913" s="4"/>
      <c r="P1913" s="4"/>
      <c r="Q1913" s="4"/>
    </row>
    <row r="1914">
      <c r="A1914" s="5">
        <v>1913.0</v>
      </c>
      <c r="B1914" s="5" t="s">
        <v>2393</v>
      </c>
      <c r="C1914" s="5" t="s">
        <v>194</v>
      </c>
      <c r="D1914" s="6">
        <f>IFERROR(__xludf.DUMMYFUNCTION("SPLIT(MID(C1914,2,LEN(C1914)-2), "","")"),442.0)</f>
        <v>442</v>
      </c>
      <c r="E1914" s="7"/>
      <c r="F1914" s="7"/>
      <c r="G1914" s="2" t="str">
        <f t="array" ref="G1914">IF(ISBLANK(D1914), "", INDEX(Categories!$B:$B,MATCH(D1914,Categories!$A:$A,0)))</f>
        <v>Pest Control Services</v>
      </c>
      <c r="H1914" s="7" t="str">
        <f t="array" ref="H1914">IF(ISBLANK(E1914), "", INDEX(Categories!$B:$B,MATCH(E1914,Categories!$A:$A,0)))</f>
        <v/>
      </c>
      <c r="I1914" s="7" t="str">
        <f t="array" ref="I1914">IF(ISBLANK(F1914), "", INDEX(Categories!$B:$B,MATCH(F1914,Categories!$A:$A,0)))</f>
        <v/>
      </c>
      <c r="J1914" s="4"/>
      <c r="K1914" s="4"/>
      <c r="L1914" s="4"/>
      <c r="M1914" s="4"/>
      <c r="N1914" s="4"/>
      <c r="O1914" s="4"/>
      <c r="P1914" s="4"/>
      <c r="Q1914" s="4"/>
    </row>
    <row r="1915">
      <c r="A1915" s="5">
        <v>1914.0</v>
      </c>
      <c r="B1915" s="5" t="s">
        <v>2394</v>
      </c>
      <c r="C1915" s="5" t="s">
        <v>12</v>
      </c>
      <c r="D1915" s="6">
        <f>IFERROR(__xludf.DUMMYFUNCTION("SPLIT(MID(C1915,2,LEN(C1915)-2), "","")"),469.0)</f>
        <v>469</v>
      </c>
      <c r="E1915" s="7"/>
      <c r="F1915" s="7"/>
      <c r="G1915" s="2" t="str">
        <f t="array" ref="G1915">IF(ISBLANK(D1915), "", INDEX(Categories!$B:$B,MATCH(D1915,Categories!$A:$A,0)))</f>
        <v>Automobile - Repairs &amp; Services</v>
      </c>
      <c r="H1915" s="7" t="str">
        <f t="array" ref="H1915">IF(ISBLANK(E1915), "", INDEX(Categories!$B:$B,MATCH(E1915,Categories!$A:$A,0)))</f>
        <v/>
      </c>
      <c r="I1915" s="7" t="str">
        <f t="array" ref="I1915">IF(ISBLANK(F1915), "", INDEX(Categories!$B:$B,MATCH(F1915,Categories!$A:$A,0)))</f>
        <v/>
      </c>
      <c r="J1915" s="4"/>
      <c r="K1915" s="4"/>
      <c r="L1915" s="4"/>
      <c r="M1915" s="4"/>
      <c r="N1915" s="4"/>
      <c r="O1915" s="4"/>
      <c r="P1915" s="4"/>
      <c r="Q1915" s="4"/>
    </row>
    <row r="1916">
      <c r="A1916" s="5">
        <v>1915.0</v>
      </c>
      <c r="B1916" s="5" t="s">
        <v>2395</v>
      </c>
      <c r="C1916" s="5" t="s">
        <v>164</v>
      </c>
      <c r="D1916" s="6">
        <f>IFERROR(__xludf.DUMMYFUNCTION("SPLIT(MID(C1916,2,LEN(C1916)-2), "","")"),243.0)</f>
        <v>243</v>
      </c>
      <c r="E1916" s="7"/>
      <c r="F1916" s="7"/>
      <c r="G1916" s="2" t="str">
        <f t="array" ref="G1916">IF(ISBLANK(D1916), "", INDEX(Categories!$B:$B,MATCH(D1916,Categories!$A:$A,0)))</f>
        <v>Restaurants Seafood</v>
      </c>
      <c r="H1916" s="7" t="str">
        <f t="array" ref="H1916">IF(ISBLANK(E1916), "", INDEX(Categories!$B:$B,MATCH(E1916,Categories!$A:$A,0)))</f>
        <v/>
      </c>
      <c r="I1916" s="7" t="str">
        <f t="array" ref="I1916">IF(ISBLANK(F1916), "", INDEX(Categories!$B:$B,MATCH(F1916,Categories!$A:$A,0)))</f>
        <v/>
      </c>
      <c r="J1916" s="4"/>
      <c r="K1916" s="4"/>
      <c r="L1916" s="4"/>
      <c r="M1916" s="4"/>
      <c r="N1916" s="4"/>
      <c r="O1916" s="4"/>
      <c r="P1916" s="4"/>
      <c r="Q1916" s="4"/>
    </row>
    <row r="1917">
      <c r="A1917" s="5">
        <v>1916.0</v>
      </c>
      <c r="B1917" s="5" t="s">
        <v>2396</v>
      </c>
      <c r="C1917" s="5" t="s">
        <v>760</v>
      </c>
      <c r="D1917" s="6">
        <f>IFERROR(__xludf.DUMMYFUNCTION("SPLIT(MID(C1917,2,LEN(C1917)-2), "","")"),1246.0)</f>
        <v>1246</v>
      </c>
      <c r="E1917" s="7"/>
      <c r="F1917" s="7"/>
      <c r="G1917" s="2" t="str">
        <f t="array" ref="G1917">IF(ISBLANK(D1917), "", INDEX(Categories!$B:$B,MATCH(D1917,Categories!$A:$A,0)))</f>
        <v>Clothing</v>
      </c>
      <c r="H1917" s="7" t="str">
        <f t="array" ref="H1917">IF(ISBLANK(E1917), "", INDEX(Categories!$B:$B,MATCH(E1917,Categories!$A:$A,0)))</f>
        <v/>
      </c>
      <c r="I1917" s="7" t="str">
        <f t="array" ref="I1917">IF(ISBLANK(F1917), "", INDEX(Categories!$B:$B,MATCH(F1917,Categories!$A:$A,0)))</f>
        <v/>
      </c>
      <c r="J1917" s="4"/>
      <c r="K1917" s="4"/>
      <c r="L1917" s="4"/>
      <c r="M1917" s="4"/>
      <c r="N1917" s="4"/>
      <c r="O1917" s="4"/>
      <c r="P1917" s="4"/>
      <c r="Q1917" s="4"/>
    </row>
    <row r="1918">
      <c r="A1918" s="5">
        <v>1917.0</v>
      </c>
      <c r="B1918" s="5" t="s">
        <v>2397</v>
      </c>
      <c r="C1918" s="5" t="s">
        <v>906</v>
      </c>
      <c r="D1918" s="6">
        <f>IFERROR(__xludf.DUMMYFUNCTION("SPLIT(MID(C1918,2,LEN(C1918)-2), "","")"),1394.0)</f>
        <v>1394</v>
      </c>
      <c r="E1918" s="7"/>
      <c r="F1918" s="7"/>
      <c r="G1918" s="2" t="str">
        <f t="array" ref="G1918">IF(ISBLANK(D1918), "", INDEX(Categories!$B:$B,MATCH(D1918,Categories!$A:$A,0)))</f>
        <v>Warehouses Mini &amp; Self Storage</v>
      </c>
      <c r="H1918" s="7" t="str">
        <f t="array" ref="H1918">IF(ISBLANK(E1918), "", INDEX(Categories!$B:$B,MATCH(E1918,Categories!$A:$A,0)))</f>
        <v/>
      </c>
      <c r="I1918" s="7" t="str">
        <f t="array" ref="I1918">IF(ISBLANK(F1918), "", INDEX(Categories!$B:$B,MATCH(F1918,Categories!$A:$A,0)))</f>
        <v/>
      </c>
      <c r="J1918" s="4"/>
      <c r="K1918" s="4"/>
      <c r="L1918" s="4"/>
      <c r="M1918" s="4"/>
      <c r="N1918" s="4"/>
      <c r="O1918" s="4"/>
      <c r="P1918" s="4"/>
      <c r="Q1918" s="4"/>
    </row>
    <row r="1919">
      <c r="A1919" s="5">
        <v>1918.0</v>
      </c>
      <c r="B1919" s="5" t="s">
        <v>2398</v>
      </c>
      <c r="C1919" s="5" t="s">
        <v>906</v>
      </c>
      <c r="D1919" s="6">
        <f>IFERROR(__xludf.DUMMYFUNCTION("SPLIT(MID(C1919,2,LEN(C1919)-2), "","")"),1394.0)</f>
        <v>1394</v>
      </c>
      <c r="E1919" s="7"/>
      <c r="F1919" s="7"/>
      <c r="G1919" s="2" t="str">
        <f t="array" ref="G1919">IF(ISBLANK(D1919), "", INDEX(Categories!$B:$B,MATCH(D1919,Categories!$A:$A,0)))</f>
        <v>Warehouses Mini &amp; Self Storage</v>
      </c>
      <c r="H1919" s="7" t="str">
        <f t="array" ref="H1919">IF(ISBLANK(E1919), "", INDEX(Categories!$B:$B,MATCH(E1919,Categories!$A:$A,0)))</f>
        <v/>
      </c>
      <c r="I1919" s="7" t="str">
        <f t="array" ref="I1919">IF(ISBLANK(F1919), "", INDEX(Categories!$B:$B,MATCH(F1919,Categories!$A:$A,0)))</f>
        <v/>
      </c>
      <c r="J1919" s="4"/>
      <c r="K1919" s="4"/>
      <c r="L1919" s="4"/>
      <c r="M1919" s="4"/>
      <c r="N1919" s="4"/>
      <c r="O1919" s="4"/>
      <c r="P1919" s="4"/>
      <c r="Q1919" s="4"/>
    </row>
    <row r="1920">
      <c r="A1920" s="5">
        <v>1919.0</v>
      </c>
      <c r="B1920" s="5" t="s">
        <v>2399</v>
      </c>
      <c r="C1920" s="5" t="s">
        <v>906</v>
      </c>
      <c r="D1920" s="6">
        <f>IFERROR(__xludf.DUMMYFUNCTION("SPLIT(MID(C1920,2,LEN(C1920)-2), "","")"),1394.0)</f>
        <v>1394</v>
      </c>
      <c r="E1920" s="7"/>
      <c r="F1920" s="7"/>
      <c r="G1920" s="2" t="str">
        <f t="array" ref="G1920">IF(ISBLANK(D1920), "", INDEX(Categories!$B:$B,MATCH(D1920,Categories!$A:$A,0)))</f>
        <v>Warehouses Mini &amp; Self Storage</v>
      </c>
      <c r="H1920" s="7" t="str">
        <f t="array" ref="H1920">IF(ISBLANK(E1920), "", INDEX(Categories!$B:$B,MATCH(E1920,Categories!$A:$A,0)))</f>
        <v/>
      </c>
      <c r="I1920" s="7" t="str">
        <f t="array" ref="I1920">IF(ISBLANK(F1920), "", INDEX(Categories!$B:$B,MATCH(F1920,Categories!$A:$A,0)))</f>
        <v/>
      </c>
      <c r="J1920" s="4"/>
      <c r="K1920" s="4"/>
      <c r="L1920" s="4"/>
      <c r="M1920" s="4"/>
      <c r="N1920" s="4"/>
      <c r="O1920" s="4"/>
      <c r="P1920" s="4"/>
      <c r="Q1920" s="4"/>
    </row>
    <row r="1921">
      <c r="A1921" s="5">
        <v>1920.0</v>
      </c>
      <c r="B1921" s="5" t="s">
        <v>2400</v>
      </c>
      <c r="C1921" s="5" t="s">
        <v>906</v>
      </c>
      <c r="D1921" s="6">
        <f>IFERROR(__xludf.DUMMYFUNCTION("SPLIT(MID(C1921,2,LEN(C1921)-2), "","")"),1394.0)</f>
        <v>1394</v>
      </c>
      <c r="E1921" s="7"/>
      <c r="F1921" s="7"/>
      <c r="G1921" s="2" t="str">
        <f t="array" ref="G1921">IF(ISBLANK(D1921), "", INDEX(Categories!$B:$B,MATCH(D1921,Categories!$A:$A,0)))</f>
        <v>Warehouses Mini &amp; Self Storage</v>
      </c>
      <c r="H1921" s="7" t="str">
        <f t="array" ref="H1921">IF(ISBLANK(E1921), "", INDEX(Categories!$B:$B,MATCH(E1921,Categories!$A:$A,0)))</f>
        <v/>
      </c>
      <c r="I1921" s="7" t="str">
        <f t="array" ref="I1921">IF(ISBLANK(F1921), "", INDEX(Categories!$B:$B,MATCH(F1921,Categories!$A:$A,0)))</f>
        <v/>
      </c>
      <c r="J1921" s="4"/>
      <c r="K1921" s="4"/>
      <c r="L1921" s="4"/>
      <c r="M1921" s="4"/>
      <c r="N1921" s="4"/>
      <c r="O1921" s="4"/>
      <c r="P1921" s="4"/>
      <c r="Q1921" s="4"/>
    </row>
    <row r="1922">
      <c r="A1922" s="5">
        <v>1921.0</v>
      </c>
      <c r="B1922" s="5" t="s">
        <v>2401</v>
      </c>
      <c r="C1922" s="5" t="s">
        <v>1257</v>
      </c>
      <c r="D1922" s="6">
        <f>IFERROR(__xludf.DUMMYFUNCTION("SPLIT(MID(C1922,2,LEN(C1922)-2), "","")"),2629.0)</f>
        <v>2629</v>
      </c>
      <c r="E1922" s="7"/>
      <c r="F1922" s="7"/>
      <c r="G1922" s="2" t="str">
        <f t="array" ref="G1922">IF(ISBLANK(D1922), "", INDEX(Categories!$B:$B,MATCH(D1922,Categories!$A:$A,0)))</f>
        <v>Tanning Salons</v>
      </c>
      <c r="H1922" s="7" t="str">
        <f t="array" ref="H1922">IF(ISBLANK(E1922), "", INDEX(Categories!$B:$B,MATCH(E1922,Categories!$A:$A,0)))</f>
        <v/>
      </c>
      <c r="I1922" s="7" t="str">
        <f t="array" ref="I1922">IF(ISBLANK(F1922), "", INDEX(Categories!$B:$B,MATCH(F1922,Categories!$A:$A,0)))</f>
        <v/>
      </c>
      <c r="J1922" s="4"/>
      <c r="K1922" s="4"/>
      <c r="L1922" s="4"/>
      <c r="M1922" s="4"/>
      <c r="N1922" s="4"/>
      <c r="O1922" s="4"/>
      <c r="P1922" s="4"/>
      <c r="Q1922" s="4"/>
    </row>
    <row r="1923">
      <c r="A1923" s="5">
        <v>1922.0</v>
      </c>
      <c r="B1923" s="5" t="s">
        <v>2402</v>
      </c>
      <c r="C1923" s="5" t="s">
        <v>53</v>
      </c>
      <c r="D1923" s="6">
        <f>IFERROR(__xludf.DUMMYFUNCTION("SPLIT(MID(C1923,2,LEN(C1923)-2), "","")"),714.0)</f>
        <v>714</v>
      </c>
      <c r="E1923" s="7"/>
      <c r="F1923" s="7"/>
      <c r="G1923" s="2" t="str">
        <f t="array" ref="G1923">IF(ISBLANK(D1923), "", INDEX(Categories!$B:$B,MATCH(D1923,Categories!$A:$A,0)))</f>
        <v>Tax Return Preparation &amp; Filing</v>
      </c>
      <c r="H1923" s="7" t="str">
        <f t="array" ref="H1923">IF(ISBLANK(E1923), "", INDEX(Categories!$B:$B,MATCH(E1923,Categories!$A:$A,0)))</f>
        <v/>
      </c>
      <c r="I1923" s="7" t="str">
        <f t="array" ref="I1923">IF(ISBLANK(F1923), "", INDEX(Categories!$B:$B,MATCH(F1923,Categories!$A:$A,0)))</f>
        <v/>
      </c>
      <c r="J1923" s="4"/>
      <c r="K1923" s="4"/>
      <c r="L1923" s="4"/>
      <c r="M1923" s="4"/>
      <c r="N1923" s="4"/>
      <c r="O1923" s="4"/>
      <c r="P1923" s="4"/>
      <c r="Q1923" s="4"/>
    </row>
    <row r="1924">
      <c r="A1924" s="5">
        <v>1923.0</v>
      </c>
      <c r="B1924" s="5" t="s">
        <v>2403</v>
      </c>
      <c r="C1924" s="5" t="s">
        <v>135</v>
      </c>
      <c r="D1924" s="6">
        <f>IFERROR(__xludf.DUMMYFUNCTION("SPLIT(MID(C1924,2,LEN(C1924)-2), "","")"),96.0)</f>
        <v>96</v>
      </c>
      <c r="E1924" s="7"/>
      <c r="F1924" s="7"/>
      <c r="G1924" s="2" t="str">
        <f t="array" ref="G1924">IF(ISBLANK(D1924), "", INDEX(Categories!$B:$B,MATCH(D1924,Categories!$A:$A,0)))</f>
        <v>Truck Renting &amp; Leasing</v>
      </c>
      <c r="H1924" s="7" t="str">
        <f t="array" ref="H1924">IF(ISBLANK(E1924), "", INDEX(Categories!$B:$B,MATCH(E1924,Categories!$A:$A,0)))</f>
        <v/>
      </c>
      <c r="I1924" s="7" t="str">
        <f t="array" ref="I1924">IF(ISBLANK(F1924), "", INDEX(Categories!$B:$B,MATCH(F1924,Categories!$A:$A,0)))</f>
        <v/>
      </c>
      <c r="J1924" s="4"/>
      <c r="K1924" s="4"/>
      <c r="L1924" s="4"/>
      <c r="M1924" s="4"/>
      <c r="N1924" s="4"/>
      <c r="O1924" s="4"/>
      <c r="P1924" s="4"/>
      <c r="Q1924" s="4"/>
    </row>
    <row r="1925">
      <c r="A1925" s="5">
        <v>1924.0</v>
      </c>
      <c r="B1925" s="5" t="s">
        <v>2404</v>
      </c>
      <c r="C1925" s="5" t="s">
        <v>1207</v>
      </c>
      <c r="D1925" s="6">
        <f>IFERROR(__xludf.DUMMYFUNCTION("SPLIT(MID(C1925,2,LEN(C1925)-2), "","")"),1734.0)</f>
        <v>1734</v>
      </c>
      <c r="E1925" s="7"/>
      <c r="F1925" s="7"/>
      <c r="G1925" s="2" t="str">
        <f t="array" ref="G1925">IF(ISBLANK(D1925), "", INDEX(Categories!$B:$B,MATCH(D1925,Categories!$A:$A,0)))</f>
        <v>Formal Wear</v>
      </c>
      <c r="H1925" s="7" t="str">
        <f t="array" ref="H1925">IF(ISBLANK(E1925), "", INDEX(Categories!$B:$B,MATCH(E1925,Categories!$A:$A,0)))</f>
        <v/>
      </c>
      <c r="I1925" s="7" t="str">
        <f t="array" ref="I1925">IF(ISBLANK(F1925), "", INDEX(Categories!$B:$B,MATCH(F1925,Categories!$A:$A,0)))</f>
        <v/>
      </c>
      <c r="J1925" s="4"/>
      <c r="K1925" s="4"/>
      <c r="L1925" s="4"/>
      <c r="M1925" s="4"/>
      <c r="N1925" s="4"/>
      <c r="O1925" s="4"/>
      <c r="P1925" s="4"/>
      <c r="Q1925" s="4"/>
    </row>
    <row r="1926">
      <c r="A1926" s="5">
        <v>1925.0</v>
      </c>
      <c r="B1926" s="5" t="s">
        <v>2405</v>
      </c>
      <c r="C1926" s="5" t="s">
        <v>1168</v>
      </c>
      <c r="D1926" s="6">
        <f>IFERROR(__xludf.DUMMYFUNCTION("SPLIT(MID(C1926,2,LEN(C1926)-2), "","")"),4.0)</f>
        <v>4</v>
      </c>
      <c r="E1926" s="7"/>
      <c r="F1926" s="7"/>
      <c r="G1926" s="2" t="str">
        <f t="array" ref="G1926">IF(ISBLANK(D1926), "", INDEX(Categories!$B:$B,MATCH(D1926,Categories!$A:$A,0)))</f>
        <v>Automobile Dealers Used Cars &amp; Vans</v>
      </c>
      <c r="H1926" s="7" t="str">
        <f t="array" ref="H1926">IF(ISBLANK(E1926), "", INDEX(Categories!$B:$B,MATCH(E1926,Categories!$A:$A,0)))</f>
        <v/>
      </c>
      <c r="I1926" s="7" t="str">
        <f t="array" ref="I1926">IF(ISBLANK(F1926), "", INDEX(Categories!$B:$B,MATCH(F1926,Categories!$A:$A,0)))</f>
        <v/>
      </c>
      <c r="J1926" s="4"/>
      <c r="K1926" s="4"/>
      <c r="L1926" s="4"/>
      <c r="M1926" s="4"/>
      <c r="N1926" s="4"/>
      <c r="O1926" s="4"/>
      <c r="P1926" s="4"/>
      <c r="Q1926" s="4"/>
    </row>
    <row r="1927">
      <c r="A1927" s="5">
        <v>1926.0</v>
      </c>
      <c r="B1927" s="5" t="s">
        <v>2406</v>
      </c>
      <c r="C1927" s="5" t="s">
        <v>475</v>
      </c>
      <c r="D1927" s="6">
        <f>IFERROR(__xludf.DUMMYFUNCTION("SPLIT(MID(C1927,2,LEN(C1927)-2), "","")"),851.0)</f>
        <v>851</v>
      </c>
      <c r="E1927" s="7"/>
      <c r="F1927" s="7"/>
      <c r="G1927" s="2" t="str">
        <f t="array" ref="G1927">IF(ISBLANK(D1927), "", INDEX(Categories!$B:$B,MATCH(D1927,Categories!$A:$A,0)))</f>
        <v>Garbage &amp; Rubbish Collection</v>
      </c>
      <c r="H1927" s="7" t="str">
        <f t="array" ref="H1927">IF(ISBLANK(E1927), "", INDEX(Categories!$B:$B,MATCH(E1927,Categories!$A:$A,0)))</f>
        <v/>
      </c>
      <c r="I1927" s="7" t="str">
        <f t="array" ref="I1927">IF(ISBLANK(F1927), "", INDEX(Categories!$B:$B,MATCH(F1927,Categories!$A:$A,0)))</f>
        <v/>
      </c>
      <c r="J1927" s="4"/>
      <c r="K1927" s="4"/>
      <c r="L1927" s="4"/>
      <c r="M1927" s="4"/>
      <c r="N1927" s="4"/>
      <c r="O1927" s="4"/>
      <c r="P1927" s="4"/>
      <c r="Q1927" s="4"/>
    </row>
    <row r="1928">
      <c r="A1928" s="5">
        <v>1927.0</v>
      </c>
      <c r="B1928" s="5" t="s">
        <v>2407</v>
      </c>
      <c r="C1928" s="5" t="s">
        <v>87</v>
      </c>
      <c r="D1928" s="6">
        <f>IFERROR(__xludf.DUMMYFUNCTION("SPLIT(MID(C1928,2,LEN(C1928)-2), "","")"),168.0)</f>
        <v>168</v>
      </c>
      <c r="E1928" s="7"/>
      <c r="F1928" s="7"/>
      <c r="G1928" s="2" t="str">
        <f t="array" ref="G1928">IF(ISBLANK(D1928), "", INDEX(Categories!$B:$B,MATCH(D1928,Categories!$A:$A,0)))</f>
        <v>Hotels &amp; Motels</v>
      </c>
      <c r="H1928" s="7" t="str">
        <f t="array" ref="H1928">IF(ISBLANK(E1928), "", INDEX(Categories!$B:$B,MATCH(E1928,Categories!$A:$A,0)))</f>
        <v/>
      </c>
      <c r="I1928" s="7" t="str">
        <f t="array" ref="I1928">IF(ISBLANK(F1928), "", INDEX(Categories!$B:$B,MATCH(F1928,Categories!$A:$A,0)))</f>
        <v/>
      </c>
      <c r="J1928" s="4"/>
      <c r="K1928" s="4"/>
      <c r="L1928" s="4"/>
      <c r="M1928" s="4"/>
      <c r="N1928" s="4"/>
      <c r="O1928" s="4"/>
      <c r="P1928" s="4"/>
      <c r="Q1928" s="4"/>
    </row>
    <row r="1929">
      <c r="A1929" s="5">
        <v>1928.0</v>
      </c>
      <c r="B1929" s="5" t="s">
        <v>2408</v>
      </c>
      <c r="C1929" s="5" t="s">
        <v>87</v>
      </c>
      <c r="D1929" s="6">
        <f>IFERROR(__xludf.DUMMYFUNCTION("SPLIT(MID(C1929,2,LEN(C1929)-2), "","")"),168.0)</f>
        <v>168</v>
      </c>
      <c r="E1929" s="7"/>
      <c r="F1929" s="7"/>
      <c r="G1929" s="2" t="str">
        <f t="array" ref="G1929">IF(ISBLANK(D1929), "", INDEX(Categories!$B:$B,MATCH(D1929,Categories!$A:$A,0)))</f>
        <v>Hotels &amp; Motels</v>
      </c>
      <c r="H1929" s="7" t="str">
        <f t="array" ref="H1929">IF(ISBLANK(E1929), "", INDEX(Categories!$B:$B,MATCH(E1929,Categories!$A:$A,0)))</f>
        <v/>
      </c>
      <c r="I1929" s="7" t="str">
        <f t="array" ref="I1929">IF(ISBLANK(F1929), "", INDEX(Categories!$B:$B,MATCH(F1929,Categories!$A:$A,0)))</f>
        <v/>
      </c>
      <c r="J1929" s="4"/>
      <c r="K1929" s="4"/>
      <c r="L1929" s="4"/>
      <c r="M1929" s="4"/>
      <c r="N1929" s="4"/>
      <c r="O1929" s="4"/>
      <c r="P1929" s="4"/>
      <c r="Q1929" s="4"/>
    </row>
    <row r="1930">
      <c r="A1930" s="5">
        <v>1929.0</v>
      </c>
      <c r="B1930" s="5" t="s">
        <v>2409</v>
      </c>
      <c r="C1930" s="5" t="s">
        <v>20</v>
      </c>
      <c r="D1930" s="6">
        <f>IFERROR(__xludf.DUMMYFUNCTION("SPLIT(MID(C1930,2,LEN(C1930)-2), "","")"),1213.0)</f>
        <v>1213</v>
      </c>
      <c r="E1930" s="7"/>
      <c r="F1930" s="7"/>
      <c r="G1930" s="2" t="str">
        <f t="array" ref="G1930">IF(ISBLANK(D1930), "", INDEX(Categories!$B:$B,MATCH(D1930,Categories!$A:$A,0)))</f>
        <v>Social Service Organizations</v>
      </c>
      <c r="H1930" s="7" t="str">
        <f t="array" ref="H1930">IF(ISBLANK(E1930), "", INDEX(Categories!$B:$B,MATCH(E1930,Categories!$A:$A,0)))</f>
        <v/>
      </c>
      <c r="I1930" s="7" t="str">
        <f t="array" ref="I1930">IF(ISBLANK(F1930), "", INDEX(Categories!$B:$B,MATCH(F1930,Categories!$A:$A,0)))</f>
        <v/>
      </c>
      <c r="J1930" s="4"/>
      <c r="K1930" s="4"/>
      <c r="L1930" s="4"/>
      <c r="M1930" s="4"/>
      <c r="N1930" s="4"/>
      <c r="O1930" s="4"/>
      <c r="P1930" s="4"/>
      <c r="Q1930" s="4"/>
    </row>
    <row r="1931">
      <c r="A1931" s="5">
        <v>1930.0</v>
      </c>
      <c r="B1931" s="5" t="s">
        <v>2410</v>
      </c>
      <c r="C1931" s="5" t="s">
        <v>562</v>
      </c>
      <c r="D1931" s="6">
        <f>IFERROR(__xludf.DUMMYFUNCTION("SPLIT(MID(C1931,2,LEN(C1931)-2), "","")"),162.0)</f>
        <v>162</v>
      </c>
      <c r="E1931" s="7"/>
      <c r="F1931" s="7"/>
      <c r="G1931" s="2" t="str">
        <f t="array" ref="G1931">IF(ISBLANK(D1931), "", INDEX(Categories!$B:$B,MATCH(D1931,Categories!$A:$A,0)))</f>
        <v>Hotels, Motels, &amp; Lodging</v>
      </c>
      <c r="H1931" s="7" t="str">
        <f t="array" ref="H1931">IF(ISBLANK(E1931), "", INDEX(Categories!$B:$B,MATCH(E1931,Categories!$A:$A,0)))</f>
        <v/>
      </c>
      <c r="I1931" s="7" t="str">
        <f t="array" ref="I1931">IF(ISBLANK(F1931), "", INDEX(Categories!$B:$B,MATCH(F1931,Categories!$A:$A,0)))</f>
        <v/>
      </c>
      <c r="J1931" s="4"/>
      <c r="K1931" s="4"/>
      <c r="L1931" s="4"/>
      <c r="M1931" s="4"/>
      <c r="N1931" s="4"/>
      <c r="O1931" s="4"/>
      <c r="P1931" s="4"/>
      <c r="Q1931" s="4"/>
    </row>
    <row r="1932">
      <c r="A1932" s="5">
        <v>1931.0</v>
      </c>
      <c r="B1932" s="5" t="s">
        <v>2411</v>
      </c>
      <c r="C1932" s="5" t="s">
        <v>87</v>
      </c>
      <c r="D1932" s="6">
        <f>IFERROR(__xludf.DUMMYFUNCTION("SPLIT(MID(C1932,2,LEN(C1932)-2), "","")"),168.0)</f>
        <v>168</v>
      </c>
      <c r="E1932" s="7"/>
      <c r="F1932" s="7"/>
      <c r="G1932" s="2" t="str">
        <f t="array" ref="G1932">IF(ISBLANK(D1932), "", INDEX(Categories!$B:$B,MATCH(D1932,Categories!$A:$A,0)))</f>
        <v>Hotels &amp; Motels</v>
      </c>
      <c r="H1932" s="7" t="str">
        <f t="array" ref="H1932">IF(ISBLANK(E1932), "", INDEX(Categories!$B:$B,MATCH(E1932,Categories!$A:$A,0)))</f>
        <v/>
      </c>
      <c r="I1932" s="7" t="str">
        <f t="array" ref="I1932">IF(ISBLANK(F1932), "", INDEX(Categories!$B:$B,MATCH(F1932,Categories!$A:$A,0)))</f>
        <v/>
      </c>
      <c r="J1932" s="4"/>
      <c r="K1932" s="4"/>
      <c r="L1932" s="4"/>
      <c r="M1932" s="4"/>
      <c r="N1932" s="4"/>
      <c r="O1932" s="4"/>
      <c r="P1932" s="4"/>
      <c r="Q1932" s="4"/>
    </row>
    <row r="1933">
      <c r="A1933" s="5">
        <v>1932.0</v>
      </c>
      <c r="B1933" s="5" t="s">
        <v>2412</v>
      </c>
      <c r="C1933" s="5" t="s">
        <v>87</v>
      </c>
      <c r="D1933" s="6">
        <f>IFERROR(__xludf.DUMMYFUNCTION("SPLIT(MID(C1933,2,LEN(C1933)-2), "","")"),168.0)</f>
        <v>168</v>
      </c>
      <c r="E1933" s="7"/>
      <c r="F1933" s="7"/>
      <c r="G1933" s="2" t="str">
        <f t="array" ref="G1933">IF(ISBLANK(D1933), "", INDEX(Categories!$B:$B,MATCH(D1933,Categories!$A:$A,0)))</f>
        <v>Hotels &amp; Motels</v>
      </c>
      <c r="H1933" s="7" t="str">
        <f t="array" ref="H1933">IF(ISBLANK(E1933), "", INDEX(Categories!$B:$B,MATCH(E1933,Categories!$A:$A,0)))</f>
        <v/>
      </c>
      <c r="I1933" s="7" t="str">
        <f t="array" ref="I1933">IF(ISBLANK(F1933), "", INDEX(Categories!$B:$B,MATCH(F1933,Categories!$A:$A,0)))</f>
        <v/>
      </c>
      <c r="J1933" s="4"/>
      <c r="K1933" s="4"/>
      <c r="L1933" s="4"/>
      <c r="M1933" s="4"/>
      <c r="N1933" s="4"/>
      <c r="O1933" s="4"/>
      <c r="P1933" s="4"/>
      <c r="Q1933" s="4"/>
    </row>
    <row r="1934">
      <c r="A1934" s="5">
        <v>1933.0</v>
      </c>
      <c r="B1934" s="5" t="s">
        <v>2413</v>
      </c>
      <c r="C1934" s="5" t="s">
        <v>562</v>
      </c>
      <c r="D1934" s="6">
        <f>IFERROR(__xludf.DUMMYFUNCTION("SPLIT(MID(C1934,2,LEN(C1934)-2), "","")"),162.0)</f>
        <v>162</v>
      </c>
      <c r="E1934" s="7"/>
      <c r="F1934" s="7"/>
      <c r="G1934" s="2" t="str">
        <f t="array" ref="G1934">IF(ISBLANK(D1934), "", INDEX(Categories!$B:$B,MATCH(D1934,Categories!$A:$A,0)))</f>
        <v>Hotels, Motels, &amp; Lodging</v>
      </c>
      <c r="H1934" s="7" t="str">
        <f t="array" ref="H1934">IF(ISBLANK(E1934), "", INDEX(Categories!$B:$B,MATCH(E1934,Categories!$A:$A,0)))</f>
        <v/>
      </c>
      <c r="I1934" s="7" t="str">
        <f t="array" ref="I1934">IF(ISBLANK(F1934), "", INDEX(Categories!$B:$B,MATCH(F1934,Categories!$A:$A,0)))</f>
        <v/>
      </c>
      <c r="J1934" s="4"/>
      <c r="K1934" s="4"/>
      <c r="L1934" s="4"/>
      <c r="M1934" s="4"/>
      <c r="N1934" s="4"/>
      <c r="O1934" s="4"/>
      <c r="P1934" s="4"/>
      <c r="Q1934" s="4"/>
    </row>
    <row r="1935">
      <c r="A1935" s="5">
        <v>1934.0</v>
      </c>
      <c r="B1935" s="5" t="s">
        <v>2414</v>
      </c>
      <c r="C1935" s="5" t="s">
        <v>87</v>
      </c>
      <c r="D1935" s="6">
        <f>IFERROR(__xludf.DUMMYFUNCTION("SPLIT(MID(C1935,2,LEN(C1935)-2), "","")"),168.0)</f>
        <v>168</v>
      </c>
      <c r="E1935" s="7"/>
      <c r="F1935" s="7"/>
      <c r="G1935" s="2" t="str">
        <f t="array" ref="G1935">IF(ISBLANK(D1935), "", INDEX(Categories!$B:$B,MATCH(D1935,Categories!$A:$A,0)))</f>
        <v>Hotels &amp; Motels</v>
      </c>
      <c r="H1935" s="7" t="str">
        <f t="array" ref="H1935">IF(ISBLANK(E1935), "", INDEX(Categories!$B:$B,MATCH(E1935,Categories!$A:$A,0)))</f>
        <v/>
      </c>
      <c r="I1935" s="7" t="str">
        <f t="array" ref="I1935">IF(ISBLANK(F1935), "", INDEX(Categories!$B:$B,MATCH(F1935,Categories!$A:$A,0)))</f>
        <v/>
      </c>
      <c r="J1935" s="4"/>
      <c r="K1935" s="4"/>
      <c r="L1935" s="4"/>
      <c r="M1935" s="4"/>
      <c r="N1935" s="4"/>
      <c r="O1935" s="4"/>
      <c r="P1935" s="4"/>
      <c r="Q1935" s="4"/>
    </row>
    <row r="1936">
      <c r="A1936" s="5">
        <v>1935.0</v>
      </c>
      <c r="B1936" s="5" t="s">
        <v>2415</v>
      </c>
      <c r="C1936" s="5" t="s">
        <v>87</v>
      </c>
      <c r="D1936" s="6">
        <f>IFERROR(__xludf.DUMMYFUNCTION("SPLIT(MID(C1936,2,LEN(C1936)-2), "","")"),168.0)</f>
        <v>168</v>
      </c>
      <c r="E1936" s="7"/>
      <c r="F1936" s="7"/>
      <c r="G1936" s="2" t="str">
        <f t="array" ref="G1936">IF(ISBLANK(D1936), "", INDEX(Categories!$B:$B,MATCH(D1936,Categories!$A:$A,0)))</f>
        <v>Hotels &amp; Motels</v>
      </c>
      <c r="H1936" s="7" t="str">
        <f t="array" ref="H1936">IF(ISBLANK(E1936), "", INDEX(Categories!$B:$B,MATCH(E1936,Categories!$A:$A,0)))</f>
        <v/>
      </c>
      <c r="I1936" s="7" t="str">
        <f t="array" ref="I1936">IF(ISBLANK(F1936), "", INDEX(Categories!$B:$B,MATCH(F1936,Categories!$A:$A,0)))</f>
        <v/>
      </c>
      <c r="J1936" s="4"/>
      <c r="K1936" s="4"/>
      <c r="L1936" s="4"/>
      <c r="M1936" s="4"/>
      <c r="N1936" s="4"/>
      <c r="O1936" s="4"/>
      <c r="P1936" s="4"/>
      <c r="Q1936" s="4"/>
    </row>
    <row r="1937">
      <c r="A1937" s="5">
        <v>1936.0</v>
      </c>
      <c r="B1937" s="5" t="s">
        <v>2416</v>
      </c>
      <c r="C1937" s="5" t="s">
        <v>87</v>
      </c>
      <c r="D1937" s="6">
        <f>IFERROR(__xludf.DUMMYFUNCTION("SPLIT(MID(C1937,2,LEN(C1937)-2), "","")"),168.0)</f>
        <v>168</v>
      </c>
      <c r="E1937" s="7"/>
      <c r="F1937" s="7"/>
      <c r="G1937" s="2" t="str">
        <f t="array" ref="G1937">IF(ISBLANK(D1937), "", INDEX(Categories!$B:$B,MATCH(D1937,Categories!$A:$A,0)))</f>
        <v>Hotels &amp; Motels</v>
      </c>
      <c r="H1937" s="7" t="str">
        <f t="array" ref="H1937">IF(ISBLANK(E1937), "", INDEX(Categories!$B:$B,MATCH(E1937,Categories!$A:$A,0)))</f>
        <v/>
      </c>
      <c r="I1937" s="7" t="str">
        <f t="array" ref="I1937">IF(ISBLANK(F1937), "", INDEX(Categories!$B:$B,MATCH(F1937,Categories!$A:$A,0)))</f>
        <v/>
      </c>
      <c r="J1937" s="4"/>
      <c r="K1937" s="4"/>
      <c r="L1937" s="4"/>
      <c r="M1937" s="4"/>
      <c r="N1937" s="4"/>
      <c r="O1937" s="4"/>
      <c r="P1937" s="4"/>
      <c r="Q1937" s="4"/>
    </row>
    <row r="1938">
      <c r="A1938" s="5">
        <v>1937.0</v>
      </c>
      <c r="B1938" s="5" t="s">
        <v>2417</v>
      </c>
      <c r="C1938" s="5" t="s">
        <v>87</v>
      </c>
      <c r="D1938" s="6">
        <f>IFERROR(__xludf.DUMMYFUNCTION("SPLIT(MID(C1938,2,LEN(C1938)-2), "","")"),168.0)</f>
        <v>168</v>
      </c>
      <c r="E1938" s="7"/>
      <c r="F1938" s="7"/>
      <c r="G1938" s="2" t="str">
        <f t="array" ref="G1938">IF(ISBLANK(D1938), "", INDEX(Categories!$B:$B,MATCH(D1938,Categories!$A:$A,0)))</f>
        <v>Hotels &amp; Motels</v>
      </c>
      <c r="H1938" s="7" t="str">
        <f t="array" ref="H1938">IF(ISBLANK(E1938), "", INDEX(Categories!$B:$B,MATCH(E1938,Categories!$A:$A,0)))</f>
        <v/>
      </c>
      <c r="I1938" s="7" t="str">
        <f t="array" ref="I1938">IF(ISBLANK(F1938), "", INDEX(Categories!$B:$B,MATCH(F1938,Categories!$A:$A,0)))</f>
        <v/>
      </c>
      <c r="J1938" s="4"/>
      <c r="K1938" s="4"/>
      <c r="L1938" s="4"/>
      <c r="M1938" s="4"/>
      <c r="N1938" s="4"/>
      <c r="O1938" s="4"/>
      <c r="P1938" s="4"/>
      <c r="Q1938" s="4"/>
    </row>
    <row r="1939">
      <c r="A1939" s="5">
        <v>1938.0</v>
      </c>
      <c r="B1939" s="5" t="s">
        <v>2418</v>
      </c>
      <c r="C1939" s="5" t="s">
        <v>2388</v>
      </c>
      <c r="D1939" s="6">
        <f>IFERROR(__xludf.DUMMYFUNCTION("SPLIT(MID(C1939,2,LEN(C1939)-2), "","")"),1229.0)</f>
        <v>1229</v>
      </c>
      <c r="E1939" s="7"/>
      <c r="F1939" s="7"/>
      <c r="G1939" s="2" t="str">
        <f t="array" ref="G1939">IF(ISBLANK(D1939), "", INDEX(Categories!$B:$B,MATCH(D1939,Categories!$A:$A,0)))</f>
        <v>Home Builders</v>
      </c>
      <c r="H1939" s="7" t="str">
        <f t="array" ref="H1939">IF(ISBLANK(E1939), "", INDEX(Categories!$B:$B,MATCH(E1939,Categories!$A:$A,0)))</f>
        <v/>
      </c>
      <c r="I1939" s="7" t="str">
        <f t="array" ref="I1939">IF(ISBLANK(F1939), "", INDEX(Categories!$B:$B,MATCH(F1939,Categories!$A:$A,0)))</f>
        <v/>
      </c>
      <c r="J1939" s="4"/>
      <c r="K1939" s="4"/>
      <c r="L1939" s="4"/>
      <c r="M1939" s="4"/>
      <c r="N1939" s="4"/>
      <c r="O1939" s="4"/>
      <c r="P1939" s="4"/>
      <c r="Q1939" s="4"/>
    </row>
    <row r="1940">
      <c r="A1940" s="5">
        <v>1939.0</v>
      </c>
      <c r="B1940" s="5" t="s">
        <v>2419</v>
      </c>
      <c r="C1940" s="5" t="s">
        <v>2420</v>
      </c>
      <c r="D1940" s="6">
        <f>IFERROR(__xludf.DUMMYFUNCTION("SPLIT(MID(C1940,2,LEN(C1940)-2), "","")"),548.0)</f>
        <v>548</v>
      </c>
      <c r="E1940" s="7"/>
      <c r="F1940" s="7"/>
      <c r="G1940" s="2" t="str">
        <f t="array" ref="G1940">IF(ISBLANK(D1940), "", INDEX(Categories!$B:$B,MATCH(D1940,Categories!$A:$A,0)))</f>
        <v>Cosmetics Wholesale &amp; Manufacturers</v>
      </c>
      <c r="H1940" s="7" t="str">
        <f t="array" ref="H1940">IF(ISBLANK(E1940), "", INDEX(Categories!$B:$B,MATCH(E1940,Categories!$A:$A,0)))</f>
        <v/>
      </c>
      <c r="I1940" s="7" t="str">
        <f t="array" ref="I1940">IF(ISBLANK(F1940), "", INDEX(Categories!$B:$B,MATCH(F1940,Categories!$A:$A,0)))</f>
        <v/>
      </c>
      <c r="J1940" s="4"/>
      <c r="K1940" s="4"/>
      <c r="L1940" s="4"/>
      <c r="M1940" s="4"/>
      <c r="N1940" s="4"/>
      <c r="O1940" s="4"/>
      <c r="P1940" s="4"/>
      <c r="Q1940" s="4"/>
    </row>
    <row r="1941">
      <c r="A1941" s="5">
        <v>1940.0</v>
      </c>
      <c r="B1941" s="5" t="s">
        <v>2421</v>
      </c>
      <c r="C1941" s="5" t="s">
        <v>2379</v>
      </c>
      <c r="D1941" s="6">
        <f>IFERROR(__xludf.DUMMYFUNCTION("SPLIT(MID(C1941,2,LEN(C1941)-2), "","")"),1837.0)</f>
        <v>1837</v>
      </c>
      <c r="E1941" s="7"/>
      <c r="F1941" s="7"/>
      <c r="G1941" s="2" t="str">
        <f t="array" ref="G1941">IF(ISBLANK(D1941), "", INDEX(Categories!$B:$B,MATCH(D1941,Categories!$A:$A,0)))</f>
        <v>Opticians</v>
      </c>
      <c r="H1941" s="7" t="str">
        <f t="array" ref="H1941">IF(ISBLANK(E1941), "", INDEX(Categories!$B:$B,MATCH(E1941,Categories!$A:$A,0)))</f>
        <v/>
      </c>
      <c r="I1941" s="7" t="str">
        <f t="array" ref="I1941">IF(ISBLANK(F1941), "", INDEX(Categories!$B:$B,MATCH(F1941,Categories!$A:$A,0)))</f>
        <v/>
      </c>
      <c r="J1941" s="4"/>
      <c r="K1941" s="4"/>
      <c r="L1941" s="4"/>
      <c r="M1941" s="4"/>
      <c r="N1941" s="4"/>
      <c r="O1941" s="4"/>
      <c r="P1941" s="4"/>
      <c r="Q1941" s="4"/>
    </row>
    <row r="1942">
      <c r="A1942" s="5">
        <v>1941.0</v>
      </c>
      <c r="B1942" s="5" t="s">
        <v>2422</v>
      </c>
      <c r="C1942" s="5" t="s">
        <v>901</v>
      </c>
      <c r="D1942" s="6">
        <f>IFERROR(__xludf.DUMMYFUNCTION("SPLIT(MID(C1942,2,LEN(C1942)-2), "","")"),971.0)</f>
        <v>971</v>
      </c>
      <c r="E1942" s="7"/>
      <c r="F1942" s="7"/>
      <c r="G1942" s="2" t="str">
        <f t="array" ref="G1942">IF(ISBLANK(D1942), "", INDEX(Categories!$B:$B,MATCH(D1942,Categories!$A:$A,0)))</f>
        <v>Telecommunications Equipment &amp; Services</v>
      </c>
      <c r="H1942" s="7" t="str">
        <f t="array" ref="H1942">IF(ISBLANK(E1942), "", INDEX(Categories!$B:$B,MATCH(E1942,Categories!$A:$A,0)))</f>
        <v/>
      </c>
      <c r="I1942" s="7" t="str">
        <f t="array" ref="I1942">IF(ISBLANK(F1942), "", INDEX(Categories!$B:$B,MATCH(F1942,Categories!$A:$A,0)))</f>
        <v/>
      </c>
      <c r="J1942" s="4"/>
      <c r="K1942" s="4"/>
      <c r="L1942" s="4"/>
      <c r="M1942" s="4"/>
      <c r="N1942" s="4"/>
      <c r="O1942" s="4"/>
      <c r="P1942" s="4"/>
      <c r="Q1942" s="4"/>
    </row>
    <row r="1943">
      <c r="A1943" s="5">
        <v>1942.0</v>
      </c>
      <c r="B1943" s="5" t="s">
        <v>2423</v>
      </c>
      <c r="C1943" s="5" t="s">
        <v>115</v>
      </c>
      <c r="D1943" s="6">
        <f>IFERROR(__xludf.DUMMYFUNCTION("SPLIT(MID(C1943,2,LEN(C1943)-2), "","")"),1272.0)</f>
        <v>1272</v>
      </c>
      <c r="E1943" s="7"/>
      <c r="F1943" s="7"/>
      <c r="G1943" s="2" t="str">
        <f t="array" ref="G1943">IF(ISBLANK(D1943), "", INDEX(Categories!$B:$B,MATCH(D1943,Categories!$A:$A,0)))</f>
        <v>Womens Apparel</v>
      </c>
      <c r="H1943" s="7" t="str">
        <f t="array" ref="H1943">IF(ISBLANK(E1943), "", INDEX(Categories!$B:$B,MATCH(E1943,Categories!$A:$A,0)))</f>
        <v/>
      </c>
      <c r="I1943" s="7" t="str">
        <f t="array" ref="I1943">IF(ISBLANK(F1943), "", INDEX(Categories!$B:$B,MATCH(F1943,Categories!$A:$A,0)))</f>
        <v/>
      </c>
      <c r="J1943" s="4"/>
      <c r="K1943" s="4"/>
      <c r="L1943" s="4"/>
      <c r="M1943" s="4"/>
      <c r="N1943" s="4"/>
      <c r="O1943" s="4"/>
      <c r="P1943" s="4"/>
      <c r="Q1943" s="4"/>
    </row>
    <row r="1944">
      <c r="A1944" s="5">
        <v>1943.0</v>
      </c>
      <c r="B1944" s="5" t="s">
        <v>2424</v>
      </c>
      <c r="C1944" s="5" t="s">
        <v>2425</v>
      </c>
      <c r="D1944" s="6">
        <f>IFERROR(__xludf.DUMMYFUNCTION("SPLIT(MID(C1944,2,LEN(C1944)-2), "","")"),279.0)</f>
        <v>279</v>
      </c>
      <c r="E1944" s="7"/>
      <c r="F1944" s="7"/>
      <c r="G1944" s="2" t="str">
        <f t="array" ref="G1944">IF(ISBLANK(D1944), "", INDEX(Categories!$B:$B,MATCH(D1944,Categories!$A:$A,0)))</f>
        <v>Paint Retail</v>
      </c>
      <c r="H1944" s="7" t="str">
        <f t="array" ref="H1944">IF(ISBLANK(E1944), "", INDEX(Categories!$B:$B,MATCH(E1944,Categories!$A:$A,0)))</f>
        <v/>
      </c>
      <c r="I1944" s="7" t="str">
        <f t="array" ref="I1944">IF(ISBLANK(F1944), "", INDEX(Categories!$B:$B,MATCH(F1944,Categories!$A:$A,0)))</f>
        <v/>
      </c>
      <c r="J1944" s="4"/>
      <c r="K1944" s="4"/>
      <c r="L1944" s="4"/>
      <c r="M1944" s="4"/>
      <c r="N1944" s="4"/>
      <c r="O1944" s="4"/>
      <c r="P1944" s="4"/>
      <c r="Q1944" s="4"/>
    </row>
    <row r="1945">
      <c r="A1945" s="5">
        <v>1944.0</v>
      </c>
      <c r="B1945" s="5" t="s">
        <v>2426</v>
      </c>
      <c r="C1945" s="5" t="s">
        <v>290</v>
      </c>
      <c r="D1945" s="6">
        <f>IFERROR(__xludf.DUMMYFUNCTION("SPLIT(MID(C1945,2,LEN(C1945)-2), "","")"),2035.0)</f>
        <v>2035</v>
      </c>
      <c r="E1945" s="7"/>
      <c r="F1945" s="7"/>
      <c r="G1945" s="2" t="str">
        <f t="array" ref="G1945">IF(ISBLANK(D1945), "", INDEX(Categories!$B:$B,MATCH(D1945,Categories!$A:$A,0)))</f>
        <v>Home Health Care Services</v>
      </c>
      <c r="H1945" s="7" t="str">
        <f t="array" ref="H1945">IF(ISBLANK(E1945), "", INDEX(Categories!$B:$B,MATCH(E1945,Categories!$A:$A,0)))</f>
        <v/>
      </c>
      <c r="I1945" s="7" t="str">
        <f t="array" ref="I1945">IF(ISBLANK(F1945), "", INDEX(Categories!$B:$B,MATCH(F1945,Categories!$A:$A,0)))</f>
        <v/>
      </c>
      <c r="J1945" s="4"/>
      <c r="K1945" s="4"/>
      <c r="L1945" s="4"/>
      <c r="M1945" s="4"/>
      <c r="N1945" s="4"/>
      <c r="O1945" s="4"/>
      <c r="P1945" s="4"/>
      <c r="Q1945" s="4"/>
    </row>
    <row r="1946">
      <c r="A1946" s="5">
        <v>1945.0</v>
      </c>
      <c r="B1946" s="5" t="s">
        <v>2427</v>
      </c>
      <c r="C1946" s="5" t="s">
        <v>428</v>
      </c>
      <c r="D1946" s="6">
        <f>IFERROR(__xludf.DUMMYFUNCTION("SPLIT(MID(C1946,2,LEN(C1946)-2), "","")"),558.0)</f>
        <v>558</v>
      </c>
      <c r="E1946" s="7"/>
      <c r="F1946" s="7"/>
      <c r="G1946" s="2" t="str">
        <f t="array" ref="G1946">IF(ISBLANK(D1946), "", INDEX(Categories!$B:$B,MATCH(D1946,Categories!$A:$A,0)))</f>
        <v>Employment Agencies</v>
      </c>
      <c r="H1946" s="7" t="str">
        <f t="array" ref="H1946">IF(ISBLANK(E1946), "", INDEX(Categories!$B:$B,MATCH(E1946,Categories!$A:$A,0)))</f>
        <v/>
      </c>
      <c r="I1946" s="7" t="str">
        <f t="array" ref="I1946">IF(ISBLANK(F1946), "", INDEX(Categories!$B:$B,MATCH(F1946,Categories!$A:$A,0)))</f>
        <v/>
      </c>
      <c r="J1946" s="4"/>
      <c r="K1946" s="4"/>
      <c r="L1946" s="4"/>
      <c r="M1946" s="4"/>
      <c r="N1946" s="4"/>
      <c r="O1946" s="4"/>
      <c r="P1946" s="4"/>
      <c r="Q1946" s="4"/>
    </row>
    <row r="1947">
      <c r="A1947" s="5">
        <v>1946.0</v>
      </c>
      <c r="B1947" s="5" t="s">
        <v>2428</v>
      </c>
      <c r="C1947" s="5" t="s">
        <v>346</v>
      </c>
      <c r="D1947" s="6">
        <f>IFERROR(__xludf.DUMMYFUNCTION("SPLIT(MID(C1947,2,LEN(C1947)-2), "","")"),610.0)</f>
        <v>610</v>
      </c>
      <c r="E1947" s="7"/>
      <c r="F1947" s="7"/>
      <c r="G1947" s="2" t="str">
        <f t="array" ref="G1947">IF(ISBLANK(D1947), "", INDEX(Categories!$B:$B,MATCH(D1947,Categories!$A:$A,0)))</f>
        <v>Supermarkets &amp; Super Stores</v>
      </c>
      <c r="H1947" s="7" t="str">
        <f t="array" ref="H1947">IF(ISBLANK(E1947), "", INDEX(Categories!$B:$B,MATCH(E1947,Categories!$A:$A,0)))</f>
        <v/>
      </c>
      <c r="I1947" s="7" t="str">
        <f t="array" ref="I1947">IF(ISBLANK(F1947), "", INDEX(Categories!$B:$B,MATCH(F1947,Categories!$A:$A,0)))</f>
        <v/>
      </c>
      <c r="J1947" s="4"/>
      <c r="K1947" s="4"/>
      <c r="L1947" s="4"/>
      <c r="M1947" s="4"/>
      <c r="N1947" s="4"/>
      <c r="O1947" s="4"/>
      <c r="P1947" s="4"/>
      <c r="Q1947" s="4"/>
    </row>
    <row r="1948">
      <c r="A1948" s="5">
        <v>1947.0</v>
      </c>
      <c r="B1948" s="5" t="s">
        <v>2429</v>
      </c>
      <c r="C1948" s="5" t="s">
        <v>288</v>
      </c>
      <c r="D1948" s="6">
        <f>IFERROR(__xludf.DUMMYFUNCTION("SPLIT(MID(C1948,2,LEN(C1948)-2), "","")"),1322.0)</f>
        <v>1322</v>
      </c>
      <c r="E1948" s="7"/>
      <c r="F1948" s="7"/>
      <c r="G1948" s="2" t="str">
        <f t="array" ref="G1948">IF(ISBLANK(D1948), "", INDEX(Categories!$B:$B,MATCH(D1948,Categories!$A:$A,0)))</f>
        <v>Financial Consultants</v>
      </c>
      <c r="H1948" s="7" t="str">
        <f t="array" ref="H1948">IF(ISBLANK(E1948), "", INDEX(Categories!$B:$B,MATCH(E1948,Categories!$A:$A,0)))</f>
        <v/>
      </c>
      <c r="I1948" s="7" t="str">
        <f t="array" ref="I1948">IF(ISBLANK(F1948), "", INDEX(Categories!$B:$B,MATCH(F1948,Categories!$A:$A,0)))</f>
        <v/>
      </c>
      <c r="J1948" s="4"/>
      <c r="K1948" s="4"/>
      <c r="L1948" s="4"/>
      <c r="M1948" s="4"/>
      <c r="N1948" s="4"/>
      <c r="O1948" s="4"/>
      <c r="P1948" s="4"/>
      <c r="Q1948" s="4"/>
    </row>
    <row r="1949">
      <c r="A1949" s="5">
        <v>1948.0</v>
      </c>
      <c r="B1949" s="5" t="s">
        <v>2430</v>
      </c>
      <c r="C1949" s="5" t="s">
        <v>18</v>
      </c>
      <c r="D1949" s="6">
        <f>IFERROR(__xludf.DUMMYFUNCTION("SPLIT(MID(C1949,2,LEN(C1949)-2), "","")"),121.0)</f>
        <v>121</v>
      </c>
      <c r="E1949" s="7"/>
      <c r="F1949" s="7"/>
      <c r="G1949" s="2" t="str">
        <f t="array" ref="G1949">IF(ISBLANK(D1949), "", INDEX(Categories!$B:$B,MATCH(D1949,Categories!$A:$A,0)))</f>
        <v>Insurance</v>
      </c>
      <c r="H1949" s="7" t="str">
        <f t="array" ref="H1949">IF(ISBLANK(E1949), "", INDEX(Categories!$B:$B,MATCH(E1949,Categories!$A:$A,0)))</f>
        <v/>
      </c>
      <c r="I1949" s="7" t="str">
        <f t="array" ref="I1949">IF(ISBLANK(F1949), "", INDEX(Categories!$B:$B,MATCH(F1949,Categories!$A:$A,0)))</f>
        <v/>
      </c>
      <c r="J1949" s="4"/>
      <c r="K1949" s="4"/>
      <c r="L1949" s="4"/>
      <c r="M1949" s="4"/>
      <c r="N1949" s="4"/>
      <c r="O1949" s="4"/>
      <c r="P1949" s="4"/>
      <c r="Q1949" s="4"/>
    </row>
    <row r="1950">
      <c r="A1950" s="5">
        <v>1949.0</v>
      </c>
      <c r="B1950" s="5" t="s">
        <v>2431</v>
      </c>
      <c r="C1950" s="5" t="s">
        <v>346</v>
      </c>
      <c r="D1950" s="6">
        <f>IFERROR(__xludf.DUMMYFUNCTION("SPLIT(MID(C1950,2,LEN(C1950)-2), "","")"),610.0)</f>
        <v>610</v>
      </c>
      <c r="E1950" s="7"/>
      <c r="F1950" s="7"/>
      <c r="G1950" s="2" t="str">
        <f t="array" ref="G1950">IF(ISBLANK(D1950), "", INDEX(Categories!$B:$B,MATCH(D1950,Categories!$A:$A,0)))</f>
        <v>Supermarkets &amp; Super Stores</v>
      </c>
      <c r="H1950" s="7" t="str">
        <f t="array" ref="H1950">IF(ISBLANK(E1950), "", INDEX(Categories!$B:$B,MATCH(E1950,Categories!$A:$A,0)))</f>
        <v/>
      </c>
      <c r="I1950" s="7" t="str">
        <f t="array" ref="I1950">IF(ISBLANK(F1950), "", INDEX(Categories!$B:$B,MATCH(F1950,Categories!$A:$A,0)))</f>
        <v/>
      </c>
      <c r="J1950" s="4"/>
      <c r="K1950" s="4"/>
      <c r="L1950" s="4"/>
      <c r="M1950" s="4"/>
      <c r="N1950" s="4"/>
      <c r="O1950" s="4"/>
      <c r="P1950" s="4"/>
      <c r="Q1950" s="4"/>
    </row>
    <row r="1951">
      <c r="A1951" s="5">
        <v>1950.0</v>
      </c>
      <c r="B1951" s="5" t="s">
        <v>2432</v>
      </c>
      <c r="C1951" s="5" t="s">
        <v>194</v>
      </c>
      <c r="D1951" s="6">
        <f>IFERROR(__xludf.DUMMYFUNCTION("SPLIT(MID(C1951,2,LEN(C1951)-2), "","")"),442.0)</f>
        <v>442</v>
      </c>
      <c r="E1951" s="7"/>
      <c r="F1951" s="7"/>
      <c r="G1951" s="2" t="str">
        <f t="array" ref="G1951">IF(ISBLANK(D1951), "", INDEX(Categories!$B:$B,MATCH(D1951,Categories!$A:$A,0)))</f>
        <v>Pest Control Services</v>
      </c>
      <c r="H1951" s="7" t="str">
        <f t="array" ref="H1951">IF(ISBLANK(E1951), "", INDEX(Categories!$B:$B,MATCH(E1951,Categories!$A:$A,0)))</f>
        <v/>
      </c>
      <c r="I1951" s="7" t="str">
        <f t="array" ref="I1951">IF(ISBLANK(F1951), "", INDEX(Categories!$B:$B,MATCH(F1951,Categories!$A:$A,0)))</f>
        <v/>
      </c>
      <c r="J1951" s="4"/>
      <c r="K1951" s="4"/>
      <c r="L1951" s="4"/>
      <c r="M1951" s="4"/>
      <c r="N1951" s="4"/>
      <c r="O1951" s="4"/>
      <c r="P1951" s="4"/>
      <c r="Q1951" s="4"/>
    </row>
    <row r="1952">
      <c r="A1952" s="5">
        <v>1951.0</v>
      </c>
      <c r="B1952" s="5" t="s">
        <v>2433</v>
      </c>
      <c r="C1952" s="5" t="s">
        <v>96</v>
      </c>
      <c r="D1952" s="6">
        <f>IFERROR(__xludf.DUMMYFUNCTION("SPLIT(MID(C1952,2,LEN(C1952)-2), "","")"),572.0)</f>
        <v>572</v>
      </c>
      <c r="E1952" s="7"/>
      <c r="F1952" s="7"/>
      <c r="G1952" s="2" t="str">
        <f t="array" ref="G1952">IF(ISBLANK(D1952), "", INDEX(Categories!$B:$B,MATCH(D1952,Categories!$A:$A,0)))</f>
        <v>Groceries</v>
      </c>
      <c r="H1952" s="7" t="str">
        <f t="array" ref="H1952">IF(ISBLANK(E1952), "", INDEX(Categories!$B:$B,MATCH(E1952,Categories!$A:$A,0)))</f>
        <v/>
      </c>
      <c r="I1952" s="7" t="str">
        <f t="array" ref="I1952">IF(ISBLANK(F1952), "", INDEX(Categories!$B:$B,MATCH(F1952,Categories!$A:$A,0)))</f>
        <v/>
      </c>
      <c r="J1952" s="4"/>
      <c r="K1952" s="4"/>
      <c r="L1952" s="4"/>
      <c r="M1952" s="4"/>
      <c r="N1952" s="4"/>
      <c r="O1952" s="4"/>
      <c r="P1952" s="4"/>
      <c r="Q1952" s="4"/>
    </row>
    <row r="1953">
      <c r="A1953" s="5">
        <v>1952.0</v>
      </c>
      <c r="B1953" s="5" t="s">
        <v>2434</v>
      </c>
      <c r="C1953" s="5" t="s">
        <v>2435</v>
      </c>
      <c r="D1953" s="6">
        <f>IFERROR(__xludf.DUMMYFUNCTION("SPLIT(MID(C1953,2,LEN(C1953)-2), "","")"),2232.0)</f>
        <v>2232</v>
      </c>
      <c r="E1953" s="7"/>
      <c r="F1953" s="7"/>
      <c r="G1953" s="2" t="str">
        <f t="array" ref="G1953">IF(ISBLANK(D1953), "", INDEX(Categories!$B:$B,MATCH(D1953,Categories!$A:$A,0)))</f>
        <v>Credit &amp; Debt Counseling Services</v>
      </c>
      <c r="H1953" s="7" t="str">
        <f t="array" ref="H1953">IF(ISBLANK(E1953), "", INDEX(Categories!$B:$B,MATCH(E1953,Categories!$A:$A,0)))</f>
        <v/>
      </c>
      <c r="I1953" s="7" t="str">
        <f t="array" ref="I1953">IF(ISBLANK(F1953), "", INDEX(Categories!$B:$B,MATCH(F1953,Categories!$A:$A,0)))</f>
        <v/>
      </c>
      <c r="J1953" s="4"/>
      <c r="K1953" s="4"/>
      <c r="L1953" s="4"/>
      <c r="M1953" s="4"/>
      <c r="N1953" s="4"/>
      <c r="O1953" s="4"/>
      <c r="P1953" s="4"/>
      <c r="Q1953" s="4"/>
    </row>
    <row r="1954">
      <c r="A1954" s="5">
        <v>1953.0</v>
      </c>
      <c r="B1954" s="5" t="s">
        <v>2436</v>
      </c>
      <c r="C1954" s="5" t="s">
        <v>102</v>
      </c>
      <c r="D1954" s="6">
        <f>IFERROR(__xludf.DUMMYFUNCTION("SPLIT(MID(C1954,2,LEN(C1954)-2), "","")"),298.0)</f>
        <v>298</v>
      </c>
      <c r="E1954" s="7"/>
      <c r="F1954" s="7"/>
      <c r="G1954" s="2" t="str">
        <f t="array" ref="G1954">IF(ISBLANK(D1954), "", INDEX(Categories!$B:$B,MATCH(D1954,Categories!$A:$A,0)))</f>
        <v>Financial Services</v>
      </c>
      <c r="H1954" s="7" t="str">
        <f t="array" ref="H1954">IF(ISBLANK(E1954), "", INDEX(Categories!$B:$B,MATCH(E1954,Categories!$A:$A,0)))</f>
        <v/>
      </c>
      <c r="I1954" s="7" t="str">
        <f t="array" ref="I1954">IF(ISBLANK(F1954), "", INDEX(Categories!$B:$B,MATCH(F1954,Categories!$A:$A,0)))</f>
        <v/>
      </c>
      <c r="J1954" s="4"/>
      <c r="K1954" s="4"/>
      <c r="L1954" s="4"/>
      <c r="M1954" s="4"/>
      <c r="N1954" s="4"/>
      <c r="O1954" s="4"/>
      <c r="P1954" s="4"/>
      <c r="Q1954" s="4"/>
    </row>
    <row r="1955">
      <c r="A1955" s="5">
        <v>1954.0</v>
      </c>
      <c r="B1955" s="5" t="s">
        <v>2437</v>
      </c>
      <c r="C1955" s="5" t="s">
        <v>55</v>
      </c>
      <c r="D1955" s="6">
        <f>IFERROR(__xludf.DUMMYFUNCTION("SPLIT(MID(C1955,2,LEN(C1955)-2), "","")"),1420.0)</f>
        <v>1420</v>
      </c>
      <c r="E1955" s="7"/>
      <c r="F1955" s="7"/>
      <c r="G1955" s="2" t="str">
        <f t="array" ref="G1955">IF(ISBLANK(D1955), "", INDEX(Categories!$B:$B,MATCH(D1955,Categories!$A:$A,0)))</f>
        <v>Video Tapes &amp; Discs Sales &amp; Rentals</v>
      </c>
      <c r="H1955" s="7" t="str">
        <f t="array" ref="H1955">IF(ISBLANK(E1955), "", INDEX(Categories!$B:$B,MATCH(E1955,Categories!$A:$A,0)))</f>
        <v/>
      </c>
      <c r="I1955" s="7" t="str">
        <f t="array" ref="I1955">IF(ISBLANK(F1955), "", INDEX(Categories!$B:$B,MATCH(F1955,Categories!$A:$A,0)))</f>
        <v/>
      </c>
      <c r="J1955" s="4"/>
      <c r="K1955" s="4"/>
      <c r="L1955" s="4"/>
      <c r="M1955" s="4"/>
      <c r="N1955" s="4"/>
      <c r="O1955" s="4"/>
      <c r="P1955" s="4"/>
      <c r="Q1955" s="4"/>
    </row>
    <row r="1956">
      <c r="A1956" s="5">
        <v>1955.0</v>
      </c>
      <c r="B1956" s="5" t="s">
        <v>2438</v>
      </c>
      <c r="C1956" s="5" t="s">
        <v>205</v>
      </c>
      <c r="D1956" s="6">
        <f>IFERROR(__xludf.DUMMYFUNCTION("SPLIT(MID(C1956,2,LEN(C1956)-2), "","")"),1384.0)</f>
        <v>1384</v>
      </c>
      <c r="E1956" s="7"/>
      <c r="F1956" s="7"/>
      <c r="G1956" s="2" t="str">
        <f t="array" ref="G1956">IF(ISBLANK(D1956), "", INDEX(Categories!$B:$B,MATCH(D1956,Categories!$A:$A,0)))</f>
        <v>Storage Self Service</v>
      </c>
      <c r="H1956" s="7" t="str">
        <f t="array" ref="H1956">IF(ISBLANK(E1956), "", INDEX(Categories!$B:$B,MATCH(E1956,Categories!$A:$A,0)))</f>
        <v/>
      </c>
      <c r="I1956" s="7" t="str">
        <f t="array" ref="I1956">IF(ISBLANK(F1956), "", INDEX(Categories!$B:$B,MATCH(F1956,Categories!$A:$A,0)))</f>
        <v/>
      </c>
      <c r="J1956" s="4"/>
      <c r="K1956" s="4"/>
      <c r="L1956" s="4"/>
      <c r="M1956" s="4"/>
      <c r="N1956" s="4"/>
      <c r="O1956" s="4"/>
      <c r="P1956" s="4"/>
      <c r="Q1956" s="4"/>
    </row>
    <row r="1957">
      <c r="A1957" s="5">
        <v>1956.0</v>
      </c>
      <c r="B1957" s="5" t="s">
        <v>2439</v>
      </c>
      <c r="C1957" s="5" t="s">
        <v>96</v>
      </c>
      <c r="D1957" s="6">
        <f>IFERROR(__xludf.DUMMYFUNCTION("SPLIT(MID(C1957,2,LEN(C1957)-2), "","")"),572.0)</f>
        <v>572</v>
      </c>
      <c r="E1957" s="7"/>
      <c r="F1957" s="7"/>
      <c r="G1957" s="2" t="str">
        <f t="array" ref="G1957">IF(ISBLANK(D1957), "", INDEX(Categories!$B:$B,MATCH(D1957,Categories!$A:$A,0)))</f>
        <v>Groceries</v>
      </c>
      <c r="H1957" s="7" t="str">
        <f t="array" ref="H1957">IF(ISBLANK(E1957), "", INDEX(Categories!$B:$B,MATCH(E1957,Categories!$A:$A,0)))</f>
        <v/>
      </c>
      <c r="I1957" s="7" t="str">
        <f t="array" ref="I1957">IF(ISBLANK(F1957), "", INDEX(Categories!$B:$B,MATCH(F1957,Categories!$A:$A,0)))</f>
        <v/>
      </c>
      <c r="J1957" s="4"/>
      <c r="K1957" s="4"/>
      <c r="L1957" s="4"/>
      <c r="M1957" s="4"/>
      <c r="N1957" s="4"/>
      <c r="O1957" s="4"/>
      <c r="P1957" s="4"/>
      <c r="Q1957" s="4"/>
    </row>
    <row r="1958">
      <c r="A1958" s="5">
        <v>1957.0</v>
      </c>
      <c r="B1958" s="5" t="s">
        <v>2440</v>
      </c>
      <c r="C1958" s="5" t="s">
        <v>1302</v>
      </c>
      <c r="D1958" s="6">
        <f>IFERROR(__xludf.DUMMYFUNCTION("SPLIT(MID(C1958,2,LEN(C1958)-2), "","")"),191.0)</f>
        <v>191</v>
      </c>
      <c r="E1958" s="7"/>
      <c r="F1958" s="7"/>
      <c r="G1958" s="2" t="str">
        <f t="array" ref="G1958">IF(ISBLANK(D1958), "", INDEX(Categories!$B:$B,MATCH(D1958,Categories!$A:$A,0)))</f>
        <v>Pharmaceutical Products Wholesale &amp; Manufacturers</v>
      </c>
      <c r="H1958" s="7" t="str">
        <f t="array" ref="H1958">IF(ISBLANK(E1958), "", INDEX(Categories!$B:$B,MATCH(E1958,Categories!$A:$A,0)))</f>
        <v/>
      </c>
      <c r="I1958" s="7" t="str">
        <f t="array" ref="I1958">IF(ISBLANK(F1958), "", INDEX(Categories!$B:$B,MATCH(F1958,Categories!$A:$A,0)))</f>
        <v/>
      </c>
      <c r="J1958" s="4"/>
      <c r="K1958" s="4"/>
      <c r="L1958" s="4"/>
      <c r="M1958" s="4"/>
      <c r="N1958" s="4"/>
      <c r="O1958" s="4"/>
      <c r="P1958" s="4"/>
      <c r="Q1958" s="4"/>
    </row>
    <row r="1959">
      <c r="A1959" s="5">
        <v>1958.0</v>
      </c>
      <c r="B1959" s="5" t="s">
        <v>2441</v>
      </c>
      <c r="C1959" s="5" t="s">
        <v>96</v>
      </c>
      <c r="D1959" s="6">
        <f>IFERROR(__xludf.DUMMYFUNCTION("SPLIT(MID(C1959,2,LEN(C1959)-2), "","")"),572.0)</f>
        <v>572</v>
      </c>
      <c r="E1959" s="7"/>
      <c r="F1959" s="7"/>
      <c r="G1959" s="2" t="str">
        <f t="array" ref="G1959">IF(ISBLANK(D1959), "", INDEX(Categories!$B:$B,MATCH(D1959,Categories!$A:$A,0)))</f>
        <v>Groceries</v>
      </c>
      <c r="H1959" s="7" t="str">
        <f t="array" ref="H1959">IF(ISBLANK(E1959), "", INDEX(Categories!$B:$B,MATCH(E1959,Categories!$A:$A,0)))</f>
        <v/>
      </c>
      <c r="I1959" s="7" t="str">
        <f t="array" ref="I1959">IF(ISBLANK(F1959), "", INDEX(Categories!$B:$B,MATCH(F1959,Categories!$A:$A,0)))</f>
        <v/>
      </c>
      <c r="J1959" s="4"/>
      <c r="K1959" s="4"/>
      <c r="L1959" s="4"/>
      <c r="M1959" s="4"/>
      <c r="N1959" s="4"/>
      <c r="O1959" s="4"/>
      <c r="P1959" s="4"/>
      <c r="Q1959" s="4"/>
    </row>
    <row r="1960">
      <c r="A1960" s="5">
        <v>1959.0</v>
      </c>
      <c r="B1960" s="5" t="s">
        <v>2442</v>
      </c>
      <c r="C1960" s="5" t="s">
        <v>69</v>
      </c>
      <c r="D1960" s="6">
        <f>IFERROR(__xludf.DUMMYFUNCTION("SPLIT(MID(C1960,2,LEN(C1960)-2), "","")"),293.0)</f>
        <v>293</v>
      </c>
      <c r="E1960" s="7"/>
      <c r="F1960" s="7"/>
      <c r="G1960" s="2" t="str">
        <f t="array" ref="G1960">IF(ISBLANK(D1960), "", INDEX(Categories!$B:$B,MATCH(D1960,Categories!$A:$A,0)))</f>
        <v>Banks Commercial</v>
      </c>
      <c r="H1960" s="7" t="str">
        <f t="array" ref="H1960">IF(ISBLANK(E1960), "", INDEX(Categories!$B:$B,MATCH(E1960,Categories!$A:$A,0)))</f>
        <v/>
      </c>
      <c r="I1960" s="7" t="str">
        <f t="array" ref="I1960">IF(ISBLANK(F1960), "", INDEX(Categories!$B:$B,MATCH(F1960,Categories!$A:$A,0)))</f>
        <v/>
      </c>
      <c r="J1960" s="4"/>
      <c r="K1960" s="4"/>
      <c r="L1960" s="4"/>
      <c r="M1960" s="4"/>
      <c r="N1960" s="4"/>
      <c r="O1960" s="4"/>
      <c r="P1960" s="4"/>
      <c r="Q1960" s="4"/>
    </row>
    <row r="1961">
      <c r="A1961" s="5">
        <v>1960.0</v>
      </c>
      <c r="B1961" s="5" t="s">
        <v>2443</v>
      </c>
      <c r="C1961" s="5" t="s">
        <v>96</v>
      </c>
      <c r="D1961" s="6">
        <f>IFERROR(__xludf.DUMMYFUNCTION("SPLIT(MID(C1961,2,LEN(C1961)-2), "","")"),572.0)</f>
        <v>572</v>
      </c>
      <c r="E1961" s="7"/>
      <c r="F1961" s="7"/>
      <c r="G1961" s="2" t="str">
        <f t="array" ref="G1961">IF(ISBLANK(D1961), "", INDEX(Categories!$B:$B,MATCH(D1961,Categories!$A:$A,0)))</f>
        <v>Groceries</v>
      </c>
      <c r="H1961" s="7" t="str">
        <f t="array" ref="H1961">IF(ISBLANK(E1961), "", INDEX(Categories!$B:$B,MATCH(E1961,Categories!$A:$A,0)))</f>
        <v/>
      </c>
      <c r="I1961" s="7" t="str">
        <f t="array" ref="I1961">IF(ISBLANK(F1961), "", INDEX(Categories!$B:$B,MATCH(F1961,Categories!$A:$A,0)))</f>
        <v/>
      </c>
      <c r="J1961" s="4"/>
      <c r="K1961" s="4"/>
      <c r="L1961" s="4"/>
      <c r="M1961" s="4"/>
      <c r="N1961" s="4"/>
      <c r="O1961" s="4"/>
      <c r="P1961" s="4"/>
      <c r="Q1961" s="4"/>
    </row>
    <row r="1962">
      <c r="A1962" s="5">
        <v>1961.0</v>
      </c>
      <c r="B1962" s="5" t="s">
        <v>2444</v>
      </c>
      <c r="C1962" s="5" t="s">
        <v>12</v>
      </c>
      <c r="D1962" s="6">
        <f>IFERROR(__xludf.DUMMYFUNCTION("SPLIT(MID(C1962,2,LEN(C1962)-2), "","")"),469.0)</f>
        <v>469</v>
      </c>
      <c r="E1962" s="7"/>
      <c r="F1962" s="7"/>
      <c r="G1962" s="2" t="str">
        <f t="array" ref="G1962">IF(ISBLANK(D1962), "", INDEX(Categories!$B:$B,MATCH(D1962,Categories!$A:$A,0)))</f>
        <v>Automobile - Repairs &amp; Services</v>
      </c>
      <c r="H1962" s="7" t="str">
        <f t="array" ref="H1962">IF(ISBLANK(E1962), "", INDEX(Categories!$B:$B,MATCH(E1962,Categories!$A:$A,0)))</f>
        <v/>
      </c>
      <c r="I1962" s="7" t="str">
        <f t="array" ref="I1962">IF(ISBLANK(F1962), "", INDEX(Categories!$B:$B,MATCH(F1962,Categories!$A:$A,0)))</f>
        <v/>
      </c>
      <c r="J1962" s="4"/>
      <c r="K1962" s="4"/>
      <c r="L1962" s="4"/>
      <c r="M1962" s="4"/>
      <c r="N1962" s="4"/>
      <c r="O1962" s="4"/>
      <c r="P1962" s="4"/>
      <c r="Q1962" s="4"/>
    </row>
    <row r="1963">
      <c r="A1963" s="5">
        <v>1962.0</v>
      </c>
      <c r="B1963" s="5" t="s">
        <v>2445</v>
      </c>
      <c r="C1963" s="5" t="s">
        <v>2446</v>
      </c>
      <c r="D1963" s="6">
        <f>IFERROR(__xludf.DUMMYFUNCTION("SPLIT(MID(C1963,2,LEN(C1963)-2), "","")"),1307.0)</f>
        <v>1307</v>
      </c>
      <c r="E1963" s="7"/>
      <c r="F1963" s="7"/>
      <c r="G1963" s="2" t="str">
        <f t="array" ref="G1963">IF(ISBLANK(D1963), "", INDEX(Categories!$B:$B,MATCH(D1963,Categories!$A:$A,0)))</f>
        <v>Wheelchair Lifts &amp; Ramps</v>
      </c>
      <c r="H1963" s="7" t="str">
        <f t="array" ref="H1963">IF(ISBLANK(E1963), "", INDEX(Categories!$B:$B,MATCH(E1963,Categories!$A:$A,0)))</f>
        <v/>
      </c>
      <c r="I1963" s="7" t="str">
        <f t="array" ref="I1963">IF(ISBLANK(F1963), "", INDEX(Categories!$B:$B,MATCH(F1963,Categories!$A:$A,0)))</f>
        <v/>
      </c>
      <c r="J1963" s="4"/>
      <c r="K1963" s="4"/>
      <c r="L1963" s="4"/>
      <c r="M1963" s="4"/>
      <c r="N1963" s="4"/>
      <c r="O1963" s="4"/>
      <c r="P1963" s="4"/>
      <c r="Q1963" s="4"/>
    </row>
    <row r="1964">
      <c r="A1964" s="5">
        <v>1963.0</v>
      </c>
      <c r="B1964" s="5" t="s">
        <v>2447</v>
      </c>
      <c r="C1964" s="5" t="s">
        <v>428</v>
      </c>
      <c r="D1964" s="6">
        <f>IFERROR(__xludf.DUMMYFUNCTION("SPLIT(MID(C1964,2,LEN(C1964)-2), "","")"),558.0)</f>
        <v>558</v>
      </c>
      <c r="E1964" s="7"/>
      <c r="F1964" s="7"/>
      <c r="G1964" s="2" t="str">
        <f t="array" ref="G1964">IF(ISBLANK(D1964), "", INDEX(Categories!$B:$B,MATCH(D1964,Categories!$A:$A,0)))</f>
        <v>Employment Agencies</v>
      </c>
      <c r="H1964" s="7" t="str">
        <f t="array" ref="H1964">IF(ISBLANK(E1964), "", INDEX(Categories!$B:$B,MATCH(E1964,Categories!$A:$A,0)))</f>
        <v/>
      </c>
      <c r="I1964" s="7" t="str">
        <f t="array" ref="I1964">IF(ISBLANK(F1964), "", INDEX(Categories!$B:$B,MATCH(F1964,Categories!$A:$A,0)))</f>
        <v/>
      </c>
      <c r="J1964" s="4"/>
      <c r="K1964" s="4"/>
      <c r="L1964" s="4"/>
      <c r="M1964" s="4"/>
      <c r="N1964" s="4"/>
      <c r="O1964" s="4"/>
      <c r="P1964" s="4"/>
      <c r="Q1964" s="4"/>
    </row>
    <row r="1965">
      <c r="A1965" s="5">
        <v>1964.0</v>
      </c>
      <c r="B1965" s="5" t="s">
        <v>2448</v>
      </c>
      <c r="C1965" s="5" t="s">
        <v>428</v>
      </c>
      <c r="D1965" s="6">
        <f>IFERROR(__xludf.DUMMYFUNCTION("SPLIT(MID(C1965,2,LEN(C1965)-2), "","")"),558.0)</f>
        <v>558</v>
      </c>
      <c r="E1965" s="7"/>
      <c r="F1965" s="7"/>
      <c r="G1965" s="2" t="str">
        <f t="array" ref="G1965">IF(ISBLANK(D1965), "", INDEX(Categories!$B:$B,MATCH(D1965,Categories!$A:$A,0)))</f>
        <v>Employment Agencies</v>
      </c>
      <c r="H1965" s="7" t="str">
        <f t="array" ref="H1965">IF(ISBLANK(E1965), "", INDEX(Categories!$B:$B,MATCH(E1965,Categories!$A:$A,0)))</f>
        <v/>
      </c>
      <c r="I1965" s="7" t="str">
        <f t="array" ref="I1965">IF(ISBLANK(F1965), "", INDEX(Categories!$B:$B,MATCH(F1965,Categories!$A:$A,0)))</f>
        <v/>
      </c>
      <c r="J1965" s="4"/>
      <c r="K1965" s="4"/>
      <c r="L1965" s="4"/>
      <c r="M1965" s="4"/>
      <c r="N1965" s="4"/>
      <c r="O1965" s="4"/>
      <c r="P1965" s="4"/>
      <c r="Q1965" s="4"/>
    </row>
    <row r="1966">
      <c r="A1966" s="5">
        <v>1965.0</v>
      </c>
      <c r="B1966" s="5" t="s">
        <v>2449</v>
      </c>
      <c r="C1966" s="5" t="s">
        <v>2319</v>
      </c>
      <c r="D1966" s="6">
        <f>IFERROR(__xludf.DUMMYFUNCTION("SPLIT(MID(C1966,2,LEN(C1966)-2), "","")"),970.0)</f>
        <v>970</v>
      </c>
      <c r="E1966" s="7"/>
      <c r="F1966" s="7"/>
      <c r="G1966" s="2" t="str">
        <f t="array" ref="G1966">IF(ISBLANK(D1966), "", INDEX(Categories!$B:$B,MATCH(D1966,Categories!$A:$A,0)))</f>
        <v>Garage Doors &amp; Openers Sales &amp; Repairs</v>
      </c>
      <c r="H1966" s="7" t="str">
        <f t="array" ref="H1966">IF(ISBLANK(E1966), "", INDEX(Categories!$B:$B,MATCH(E1966,Categories!$A:$A,0)))</f>
        <v/>
      </c>
      <c r="I1966" s="7" t="str">
        <f t="array" ref="I1966">IF(ISBLANK(F1966), "", INDEX(Categories!$B:$B,MATCH(F1966,Categories!$A:$A,0)))</f>
        <v/>
      </c>
      <c r="J1966" s="4"/>
      <c r="K1966" s="4"/>
      <c r="L1966" s="4"/>
      <c r="M1966" s="4"/>
      <c r="N1966" s="4"/>
      <c r="O1966" s="4"/>
      <c r="P1966" s="4"/>
      <c r="Q1966" s="4"/>
    </row>
    <row r="1967">
      <c r="A1967" s="5">
        <v>1966.0</v>
      </c>
      <c r="B1967" s="5" t="s">
        <v>2450</v>
      </c>
      <c r="C1967" s="5" t="s">
        <v>2286</v>
      </c>
      <c r="D1967" s="6">
        <f>IFERROR(__xludf.DUMMYFUNCTION("SPLIT(MID(C1967,2,LEN(C1967)-2), "","")"),80.0)</f>
        <v>80</v>
      </c>
      <c r="E1967" s="7"/>
      <c r="F1967" s="7"/>
      <c r="G1967" s="2" t="str">
        <f t="array" ref="G1967">IF(ISBLANK(D1967), "", INDEX(Categories!$B:$B,MATCH(D1967,Categories!$A:$A,0)))</f>
        <v>Dentists</v>
      </c>
      <c r="H1967" s="7" t="str">
        <f t="array" ref="H1967">IF(ISBLANK(E1967), "", INDEX(Categories!$B:$B,MATCH(E1967,Categories!$A:$A,0)))</f>
        <v/>
      </c>
      <c r="I1967" s="7" t="str">
        <f t="array" ref="I1967">IF(ISBLANK(F1967), "", INDEX(Categories!$B:$B,MATCH(F1967,Categories!$A:$A,0)))</f>
        <v/>
      </c>
      <c r="J1967" s="4"/>
      <c r="K1967" s="4"/>
      <c r="L1967" s="4"/>
      <c r="M1967" s="4"/>
      <c r="N1967" s="4"/>
      <c r="O1967" s="4"/>
      <c r="P1967" s="4"/>
      <c r="Q1967" s="4"/>
    </row>
    <row r="1968">
      <c r="A1968" s="5">
        <v>1967.0</v>
      </c>
      <c r="B1968" s="5" t="s">
        <v>2451</v>
      </c>
      <c r="C1968" s="5" t="s">
        <v>34</v>
      </c>
      <c r="D1968" s="6">
        <f>IFERROR(__xludf.DUMMYFUNCTION("SPLIT(MID(C1968,2,LEN(C1968)-2), "","")"),228.0)</f>
        <v>228</v>
      </c>
      <c r="E1968" s="7"/>
      <c r="F1968" s="7"/>
      <c r="G1968" s="2" t="str">
        <f t="array" ref="G1968">IF(ISBLANK(D1968), "", INDEX(Categories!$B:$B,MATCH(D1968,Categories!$A:$A,0)))</f>
        <v>Restaurants</v>
      </c>
      <c r="H1968" s="7" t="str">
        <f t="array" ref="H1968">IF(ISBLANK(E1968), "", INDEX(Categories!$B:$B,MATCH(E1968,Categories!$A:$A,0)))</f>
        <v/>
      </c>
      <c r="I1968" s="7" t="str">
        <f t="array" ref="I1968">IF(ISBLANK(F1968), "", INDEX(Categories!$B:$B,MATCH(F1968,Categories!$A:$A,0)))</f>
        <v/>
      </c>
      <c r="J1968" s="4"/>
      <c r="K1968" s="4"/>
      <c r="L1968" s="4"/>
      <c r="M1968" s="4"/>
      <c r="N1968" s="4"/>
      <c r="O1968" s="4"/>
      <c r="P1968" s="4"/>
      <c r="Q1968" s="4"/>
    </row>
    <row r="1969">
      <c r="A1969" s="5">
        <v>1968.0</v>
      </c>
      <c r="B1969" s="5" t="s">
        <v>2452</v>
      </c>
      <c r="C1969" s="5" t="s">
        <v>34</v>
      </c>
      <c r="D1969" s="6">
        <f>IFERROR(__xludf.DUMMYFUNCTION("SPLIT(MID(C1969,2,LEN(C1969)-2), "","")"),228.0)</f>
        <v>228</v>
      </c>
      <c r="E1969" s="7"/>
      <c r="F1969" s="7"/>
      <c r="G1969" s="2" t="str">
        <f t="array" ref="G1969">IF(ISBLANK(D1969), "", INDEX(Categories!$B:$B,MATCH(D1969,Categories!$A:$A,0)))</f>
        <v>Restaurants</v>
      </c>
      <c r="H1969" s="7" t="str">
        <f t="array" ref="H1969">IF(ISBLANK(E1969), "", INDEX(Categories!$B:$B,MATCH(E1969,Categories!$A:$A,0)))</f>
        <v/>
      </c>
      <c r="I1969" s="7" t="str">
        <f t="array" ref="I1969">IF(ISBLANK(F1969), "", INDEX(Categories!$B:$B,MATCH(F1969,Categories!$A:$A,0)))</f>
        <v/>
      </c>
      <c r="J1969" s="4"/>
      <c r="K1969" s="4"/>
      <c r="L1969" s="4"/>
      <c r="M1969" s="4"/>
      <c r="N1969" s="4"/>
      <c r="O1969" s="4"/>
      <c r="P1969" s="4"/>
      <c r="Q1969" s="4"/>
    </row>
    <row r="1970">
      <c r="A1970" s="5">
        <v>1969.0</v>
      </c>
      <c r="B1970" s="5" t="s">
        <v>2453</v>
      </c>
      <c r="C1970" s="5" t="s">
        <v>1286</v>
      </c>
      <c r="D1970" s="6">
        <f>IFERROR(__xludf.DUMMYFUNCTION("SPLIT(MID(C1970,2,LEN(C1970)-2), "","")"),1100.0)</f>
        <v>1100</v>
      </c>
      <c r="E1970" s="7"/>
      <c r="F1970" s="7"/>
      <c r="G1970" s="2" t="str">
        <f t="array" ref="G1970">IF(ISBLANK(D1970), "", INDEX(Categories!$B:$B,MATCH(D1970,Categories!$A:$A,0)))</f>
        <v>Bars Grills &amp; Pubs</v>
      </c>
      <c r="H1970" s="7" t="str">
        <f t="array" ref="H1970">IF(ISBLANK(E1970), "", INDEX(Categories!$B:$B,MATCH(E1970,Categories!$A:$A,0)))</f>
        <v/>
      </c>
      <c r="I1970" s="7" t="str">
        <f t="array" ref="I1970">IF(ISBLANK(F1970), "", INDEX(Categories!$B:$B,MATCH(F1970,Categories!$A:$A,0)))</f>
        <v/>
      </c>
      <c r="J1970" s="4"/>
      <c r="K1970" s="4"/>
      <c r="L1970" s="4"/>
      <c r="M1970" s="4"/>
      <c r="N1970" s="4"/>
      <c r="O1970" s="4"/>
      <c r="P1970" s="4"/>
      <c r="Q1970" s="4"/>
    </row>
    <row r="1971">
      <c r="A1971" s="5">
        <v>1970.0</v>
      </c>
      <c r="B1971" s="5" t="s">
        <v>2454</v>
      </c>
      <c r="C1971" s="5" t="s">
        <v>34</v>
      </c>
      <c r="D1971" s="6">
        <f>IFERROR(__xludf.DUMMYFUNCTION("SPLIT(MID(C1971,2,LEN(C1971)-2), "","")"),228.0)</f>
        <v>228</v>
      </c>
      <c r="E1971" s="7"/>
      <c r="F1971" s="7"/>
      <c r="G1971" s="2" t="str">
        <f t="array" ref="G1971">IF(ISBLANK(D1971), "", INDEX(Categories!$B:$B,MATCH(D1971,Categories!$A:$A,0)))</f>
        <v>Restaurants</v>
      </c>
      <c r="H1971" s="7" t="str">
        <f t="array" ref="H1971">IF(ISBLANK(E1971), "", INDEX(Categories!$B:$B,MATCH(E1971,Categories!$A:$A,0)))</f>
        <v/>
      </c>
      <c r="I1971" s="7" t="str">
        <f t="array" ref="I1971">IF(ISBLANK(F1971), "", INDEX(Categories!$B:$B,MATCH(F1971,Categories!$A:$A,0)))</f>
        <v/>
      </c>
      <c r="J1971" s="4"/>
      <c r="K1971" s="4"/>
      <c r="L1971" s="4"/>
      <c r="M1971" s="4"/>
      <c r="N1971" s="4"/>
      <c r="O1971" s="4"/>
      <c r="P1971" s="4"/>
      <c r="Q1971" s="4"/>
    </row>
    <row r="1972">
      <c r="A1972" s="5">
        <v>1971.0</v>
      </c>
      <c r="B1972" s="5" t="s">
        <v>2455</v>
      </c>
      <c r="C1972" s="5" t="s">
        <v>303</v>
      </c>
      <c r="D1972" s="6">
        <f>IFERROR(__xludf.DUMMYFUNCTION("SPLIT(MID(C1972,2,LEN(C1972)-2), "","")"),1241.0)</f>
        <v>1241</v>
      </c>
      <c r="E1972" s="7"/>
      <c r="F1972" s="7"/>
      <c r="G1972" s="2" t="str">
        <f t="array" ref="G1972">IF(ISBLANK(D1972), "", INDEX(Categories!$B:$B,MATCH(D1972,Categories!$A:$A,0)))</f>
        <v>Clothing &amp; Accessories</v>
      </c>
      <c r="H1972" s="7" t="str">
        <f t="array" ref="H1972">IF(ISBLANK(E1972), "", INDEX(Categories!$B:$B,MATCH(E1972,Categories!$A:$A,0)))</f>
        <v/>
      </c>
      <c r="I1972" s="7" t="str">
        <f t="array" ref="I1972">IF(ISBLANK(F1972), "", INDEX(Categories!$B:$B,MATCH(F1972,Categories!$A:$A,0)))</f>
        <v/>
      </c>
      <c r="J1972" s="4"/>
      <c r="K1972" s="4"/>
      <c r="L1972" s="4"/>
      <c r="M1972" s="4"/>
      <c r="N1972" s="4"/>
      <c r="O1972" s="4"/>
      <c r="P1972" s="4"/>
      <c r="Q1972" s="4"/>
    </row>
    <row r="1973">
      <c r="A1973" s="5">
        <v>1972.0</v>
      </c>
      <c r="B1973" s="5" t="s">
        <v>2456</v>
      </c>
      <c r="C1973" s="5" t="s">
        <v>2457</v>
      </c>
      <c r="D1973" s="6">
        <f>IFERROR(__xludf.DUMMYFUNCTION("SPLIT(MID(C1973,2,LEN(C1973)-2), "","")"),765.0)</f>
        <v>765</v>
      </c>
      <c r="E1973" s="7"/>
      <c r="F1973" s="7"/>
      <c r="G1973" s="2" t="str">
        <f t="array" ref="G1973">IF(ISBLANK(D1973), "", INDEX(Categories!$B:$B,MATCH(D1973,Categories!$A:$A,0)))</f>
        <v>Outlet Stores</v>
      </c>
      <c r="H1973" s="7" t="str">
        <f t="array" ref="H1973">IF(ISBLANK(E1973), "", INDEX(Categories!$B:$B,MATCH(E1973,Categories!$A:$A,0)))</f>
        <v/>
      </c>
      <c r="I1973" s="7" t="str">
        <f t="array" ref="I1973">IF(ISBLANK(F1973), "", INDEX(Categories!$B:$B,MATCH(F1973,Categories!$A:$A,0)))</f>
        <v/>
      </c>
      <c r="J1973" s="4"/>
      <c r="K1973" s="4"/>
      <c r="L1973" s="4"/>
      <c r="M1973" s="4"/>
      <c r="N1973" s="4"/>
      <c r="O1973" s="4"/>
      <c r="P1973" s="4"/>
      <c r="Q1973" s="4"/>
    </row>
    <row r="1974">
      <c r="A1974" s="5">
        <v>1973.0</v>
      </c>
      <c r="B1974" s="5" t="s">
        <v>2458</v>
      </c>
      <c r="C1974" s="5" t="s">
        <v>139</v>
      </c>
      <c r="D1974" s="6">
        <f>IFERROR(__xludf.DUMMYFUNCTION("SPLIT(MID(C1974,2,LEN(C1974)-2), "","")"),1617.0)</f>
        <v>1617</v>
      </c>
      <c r="E1974" s="7"/>
      <c r="F1974" s="7"/>
      <c r="G1974" s="2" t="str">
        <f t="array" ref="G1974">IF(ISBLANK(D1974), "", INDEX(Categories!$B:$B,MATCH(D1974,Categories!$A:$A,0)))</f>
        <v>Department Stores</v>
      </c>
      <c r="H1974" s="7" t="str">
        <f t="array" ref="H1974">IF(ISBLANK(E1974), "", INDEX(Categories!$B:$B,MATCH(E1974,Categories!$A:$A,0)))</f>
        <v/>
      </c>
      <c r="I1974" s="7" t="str">
        <f t="array" ref="I1974">IF(ISBLANK(F1974), "", INDEX(Categories!$B:$B,MATCH(F1974,Categories!$A:$A,0)))</f>
        <v/>
      </c>
      <c r="J1974" s="4"/>
      <c r="K1974" s="4"/>
      <c r="L1974" s="4"/>
      <c r="M1974" s="4"/>
      <c r="N1974" s="4"/>
      <c r="O1974" s="4"/>
      <c r="P1974" s="4"/>
      <c r="Q1974" s="4"/>
    </row>
    <row r="1975">
      <c r="A1975" s="5">
        <v>1974.0</v>
      </c>
      <c r="B1975" s="5" t="s">
        <v>2459</v>
      </c>
      <c r="C1975" s="5" t="s">
        <v>34</v>
      </c>
      <c r="D1975" s="6">
        <f>IFERROR(__xludf.DUMMYFUNCTION("SPLIT(MID(C1975,2,LEN(C1975)-2), "","")"),228.0)</f>
        <v>228</v>
      </c>
      <c r="E1975" s="7"/>
      <c r="F1975" s="7"/>
      <c r="G1975" s="2" t="str">
        <f t="array" ref="G1975">IF(ISBLANK(D1975), "", INDEX(Categories!$B:$B,MATCH(D1975,Categories!$A:$A,0)))</f>
        <v>Restaurants</v>
      </c>
      <c r="H1975" s="7" t="str">
        <f t="array" ref="H1975">IF(ISBLANK(E1975), "", INDEX(Categories!$B:$B,MATCH(E1975,Categories!$A:$A,0)))</f>
        <v/>
      </c>
      <c r="I1975" s="7" t="str">
        <f t="array" ref="I1975">IF(ISBLANK(F1975), "", INDEX(Categories!$B:$B,MATCH(F1975,Categories!$A:$A,0)))</f>
        <v/>
      </c>
      <c r="J1975" s="4"/>
      <c r="K1975" s="4"/>
      <c r="L1975" s="4"/>
      <c r="M1975" s="4"/>
      <c r="N1975" s="4"/>
      <c r="O1975" s="4"/>
      <c r="P1975" s="4"/>
      <c r="Q1975" s="4"/>
    </row>
    <row r="1976">
      <c r="A1976" s="5">
        <v>1975.0</v>
      </c>
      <c r="B1976" s="5" t="s">
        <v>2460</v>
      </c>
      <c r="C1976" s="5" t="s">
        <v>34</v>
      </c>
      <c r="D1976" s="6">
        <f>IFERROR(__xludf.DUMMYFUNCTION("SPLIT(MID(C1976,2,LEN(C1976)-2), "","")"),228.0)</f>
        <v>228</v>
      </c>
      <c r="E1976" s="7"/>
      <c r="F1976" s="7"/>
      <c r="G1976" s="2" t="str">
        <f t="array" ref="G1976">IF(ISBLANK(D1976), "", INDEX(Categories!$B:$B,MATCH(D1976,Categories!$A:$A,0)))</f>
        <v>Restaurants</v>
      </c>
      <c r="H1976" s="7" t="str">
        <f t="array" ref="H1976">IF(ISBLANK(E1976), "", INDEX(Categories!$B:$B,MATCH(E1976,Categories!$A:$A,0)))</f>
        <v/>
      </c>
      <c r="I1976" s="7" t="str">
        <f t="array" ref="I1976">IF(ISBLANK(F1976), "", INDEX(Categories!$B:$B,MATCH(F1976,Categories!$A:$A,0)))</f>
        <v/>
      </c>
      <c r="J1976" s="4"/>
      <c r="K1976" s="4"/>
      <c r="L1976" s="4"/>
      <c r="M1976" s="4"/>
      <c r="N1976" s="4"/>
      <c r="O1976" s="4"/>
      <c r="P1976" s="4"/>
      <c r="Q1976" s="4"/>
    </row>
    <row r="1977">
      <c r="A1977" s="5">
        <v>1976.0</v>
      </c>
      <c r="B1977" s="5" t="s">
        <v>2461</v>
      </c>
      <c r="C1977" s="5" t="s">
        <v>65</v>
      </c>
      <c r="D1977" s="6">
        <f>IFERROR(__xludf.DUMMYFUNCTION("SPLIT(MID(C1977,2,LEN(C1977)-2), "","")"),983.0)</f>
        <v>983</v>
      </c>
      <c r="E1977" s="7"/>
      <c r="F1977" s="7"/>
      <c r="G1977" s="2" t="str">
        <f t="array" ref="G1977">IF(ISBLANK(D1977), "", INDEX(Categories!$B:$B,MATCH(D1977,Categories!$A:$A,0)))</f>
        <v>Mobile Telephone Service</v>
      </c>
      <c r="H1977" s="7" t="str">
        <f t="array" ref="H1977">IF(ISBLANK(E1977), "", INDEX(Categories!$B:$B,MATCH(E1977,Categories!$A:$A,0)))</f>
        <v/>
      </c>
      <c r="I1977" s="7" t="str">
        <f t="array" ref="I1977">IF(ISBLANK(F1977), "", INDEX(Categories!$B:$B,MATCH(F1977,Categories!$A:$A,0)))</f>
        <v/>
      </c>
      <c r="J1977" s="4"/>
      <c r="K1977" s="4"/>
      <c r="L1977" s="4"/>
      <c r="M1977" s="4"/>
      <c r="N1977" s="4"/>
      <c r="O1977" s="4"/>
      <c r="P1977" s="4"/>
      <c r="Q1977" s="4"/>
    </row>
    <row r="1978">
      <c r="A1978" s="5">
        <v>1977.0</v>
      </c>
      <c r="B1978" s="5" t="s">
        <v>2462</v>
      </c>
      <c r="C1978" s="5" t="s">
        <v>255</v>
      </c>
      <c r="D1978" s="6">
        <f>IFERROR(__xludf.DUMMYFUNCTION("SPLIT(MID(C1978,2,LEN(C1978)-2), "","")"),1462.0)</f>
        <v>1462</v>
      </c>
      <c r="E1978" s="7"/>
      <c r="F1978" s="7"/>
      <c r="G1978" s="2" t="str">
        <f t="array" ref="G1978">IF(ISBLANK(D1978), "", INDEX(Categories!$B:$B,MATCH(D1978,Categories!$A:$A,0)))</f>
        <v>Toys Retail</v>
      </c>
      <c r="H1978" s="7" t="str">
        <f t="array" ref="H1978">IF(ISBLANK(E1978), "", INDEX(Categories!$B:$B,MATCH(E1978,Categories!$A:$A,0)))</f>
        <v/>
      </c>
      <c r="I1978" s="7" t="str">
        <f t="array" ref="I1978">IF(ISBLANK(F1978), "", INDEX(Categories!$B:$B,MATCH(F1978,Categories!$A:$A,0)))</f>
        <v/>
      </c>
      <c r="J1978" s="4"/>
      <c r="K1978" s="4"/>
      <c r="L1978" s="4"/>
      <c r="M1978" s="4"/>
      <c r="N1978" s="4"/>
      <c r="O1978" s="4"/>
      <c r="P1978" s="4"/>
      <c r="Q1978" s="4"/>
    </row>
    <row r="1979">
      <c r="A1979" s="5">
        <v>1978.0</v>
      </c>
      <c r="B1979" s="5" t="s">
        <v>2463</v>
      </c>
      <c r="C1979" s="5" t="s">
        <v>626</v>
      </c>
      <c r="D1979" s="6">
        <f>IFERROR(__xludf.DUMMYFUNCTION("SPLIT(MID(C1979,2,LEN(C1979)-2), "","")"),1247.0)</f>
        <v>1247</v>
      </c>
      <c r="E1979" s="7"/>
      <c r="F1979" s="7"/>
      <c r="G1979" s="2" t="str">
        <f t="array" ref="G1979">IF(ISBLANK(D1979), "", INDEX(Categories!$B:$B,MATCH(D1979,Categories!$A:$A,0)))</f>
        <v>Clothing Children &amp; Infant</v>
      </c>
      <c r="H1979" s="7" t="str">
        <f t="array" ref="H1979">IF(ISBLANK(E1979), "", INDEX(Categories!$B:$B,MATCH(E1979,Categories!$A:$A,0)))</f>
        <v/>
      </c>
      <c r="I1979" s="7" t="str">
        <f t="array" ref="I1979">IF(ISBLANK(F1979), "", INDEX(Categories!$B:$B,MATCH(F1979,Categories!$A:$A,0)))</f>
        <v/>
      </c>
      <c r="J1979" s="4"/>
      <c r="K1979" s="4"/>
      <c r="L1979" s="4"/>
      <c r="M1979" s="4"/>
      <c r="N1979" s="4"/>
      <c r="O1979" s="4"/>
      <c r="P1979" s="4"/>
      <c r="Q1979" s="4"/>
    </row>
    <row r="1980">
      <c r="A1980" s="5">
        <v>1979.0</v>
      </c>
      <c r="B1980" s="5" t="s">
        <v>2464</v>
      </c>
      <c r="C1980" s="5" t="s">
        <v>34</v>
      </c>
      <c r="D1980" s="6">
        <f>IFERROR(__xludf.DUMMYFUNCTION("SPLIT(MID(C1980,2,LEN(C1980)-2), "","")"),228.0)</f>
        <v>228</v>
      </c>
      <c r="E1980" s="7"/>
      <c r="F1980" s="7"/>
      <c r="G1980" s="2" t="str">
        <f t="array" ref="G1980">IF(ISBLANK(D1980), "", INDEX(Categories!$B:$B,MATCH(D1980,Categories!$A:$A,0)))</f>
        <v>Restaurants</v>
      </c>
      <c r="H1980" s="7" t="str">
        <f t="array" ref="H1980">IF(ISBLANK(E1980), "", INDEX(Categories!$B:$B,MATCH(E1980,Categories!$A:$A,0)))</f>
        <v/>
      </c>
      <c r="I1980" s="7" t="str">
        <f t="array" ref="I1980">IF(ISBLANK(F1980), "", INDEX(Categories!$B:$B,MATCH(F1980,Categories!$A:$A,0)))</f>
        <v/>
      </c>
      <c r="J1980" s="4"/>
      <c r="K1980" s="4"/>
      <c r="L1980" s="4"/>
      <c r="M1980" s="4"/>
      <c r="N1980" s="4"/>
      <c r="O1980" s="4"/>
      <c r="P1980" s="4"/>
      <c r="Q1980" s="4"/>
    </row>
    <row r="1981">
      <c r="A1981" s="5">
        <v>1980.0</v>
      </c>
      <c r="B1981" s="5" t="s">
        <v>2465</v>
      </c>
      <c r="C1981" s="5" t="s">
        <v>1600</v>
      </c>
      <c r="D1981" s="6">
        <f>IFERROR(__xludf.DUMMYFUNCTION("SPLIT(MID(C1981,2,LEN(C1981)-2), "","")"),2595.0)</f>
        <v>2595</v>
      </c>
      <c r="E1981" s="7"/>
      <c r="F1981" s="7"/>
      <c r="G1981" s="2" t="str">
        <f t="array" ref="G1981">IF(ISBLANK(D1981), "", INDEX(Categories!$B:$B,MATCH(D1981,Categories!$A:$A,0)))</f>
        <v>Health &amp; Fitness Clubs</v>
      </c>
      <c r="H1981" s="7" t="str">
        <f t="array" ref="H1981">IF(ISBLANK(E1981), "", INDEX(Categories!$B:$B,MATCH(E1981,Categories!$A:$A,0)))</f>
        <v/>
      </c>
      <c r="I1981" s="7" t="str">
        <f t="array" ref="I1981">IF(ISBLANK(F1981), "", INDEX(Categories!$B:$B,MATCH(F1981,Categories!$A:$A,0)))</f>
        <v/>
      </c>
      <c r="J1981" s="4"/>
      <c r="K1981" s="4"/>
      <c r="L1981" s="4"/>
      <c r="M1981" s="4"/>
      <c r="N1981" s="4"/>
      <c r="O1981" s="4"/>
      <c r="P1981" s="4"/>
      <c r="Q1981" s="4"/>
    </row>
    <row r="1982">
      <c r="A1982" s="5">
        <v>1981.0</v>
      </c>
      <c r="B1982" s="5" t="s">
        <v>2466</v>
      </c>
      <c r="C1982" s="5" t="s">
        <v>1600</v>
      </c>
      <c r="D1982" s="6">
        <f>IFERROR(__xludf.DUMMYFUNCTION("SPLIT(MID(C1982,2,LEN(C1982)-2), "","")"),2595.0)</f>
        <v>2595</v>
      </c>
      <c r="E1982" s="7"/>
      <c r="F1982" s="7"/>
      <c r="G1982" s="2" t="str">
        <f t="array" ref="G1982">IF(ISBLANK(D1982), "", INDEX(Categories!$B:$B,MATCH(D1982,Categories!$A:$A,0)))</f>
        <v>Health &amp; Fitness Clubs</v>
      </c>
      <c r="H1982" s="7" t="str">
        <f t="array" ref="H1982">IF(ISBLANK(E1982), "", INDEX(Categories!$B:$B,MATCH(E1982,Categories!$A:$A,0)))</f>
        <v/>
      </c>
      <c r="I1982" s="7" t="str">
        <f t="array" ref="I1982">IF(ISBLANK(F1982), "", INDEX(Categories!$B:$B,MATCH(F1982,Categories!$A:$A,0)))</f>
        <v/>
      </c>
      <c r="J1982" s="4"/>
      <c r="K1982" s="4"/>
      <c r="L1982" s="4"/>
      <c r="M1982" s="4"/>
      <c r="N1982" s="4"/>
      <c r="O1982" s="4"/>
      <c r="P1982" s="4"/>
      <c r="Q1982" s="4"/>
    </row>
    <row r="1983">
      <c r="A1983" s="5">
        <v>1982.0</v>
      </c>
      <c r="B1983" s="5" t="s">
        <v>2467</v>
      </c>
      <c r="C1983" s="5" t="s">
        <v>58</v>
      </c>
      <c r="D1983" s="6">
        <f>IFERROR(__xludf.DUMMYFUNCTION("SPLIT(MID(C1983,2,LEN(C1983)-2), "","")"),1170.0)</f>
        <v>1170</v>
      </c>
      <c r="E1983" s="7"/>
      <c r="F1983" s="7"/>
      <c r="G1983" s="2" t="str">
        <f t="array" ref="G1983">IF(ISBLANK(D1983), "", INDEX(Categories!$B:$B,MATCH(D1983,Categories!$A:$A,0)))</f>
        <v>Gasoline Retail</v>
      </c>
      <c r="H1983" s="7" t="str">
        <f t="array" ref="H1983">IF(ISBLANK(E1983), "", INDEX(Categories!$B:$B,MATCH(E1983,Categories!$A:$A,0)))</f>
        <v/>
      </c>
      <c r="I1983" s="7" t="str">
        <f t="array" ref="I1983">IF(ISBLANK(F1983), "", INDEX(Categories!$B:$B,MATCH(F1983,Categories!$A:$A,0)))</f>
        <v/>
      </c>
      <c r="J1983" s="4"/>
      <c r="K1983" s="4"/>
      <c r="L1983" s="4"/>
      <c r="M1983" s="4"/>
      <c r="N1983" s="4"/>
      <c r="O1983" s="4"/>
      <c r="P1983" s="4"/>
      <c r="Q1983" s="4"/>
    </row>
    <row r="1984">
      <c r="A1984" s="5">
        <v>1983.0</v>
      </c>
      <c r="B1984" s="5" t="s">
        <v>2468</v>
      </c>
      <c r="C1984" s="5" t="s">
        <v>2469</v>
      </c>
      <c r="D1984" s="6">
        <f>IFERROR(__xludf.DUMMYFUNCTION("SPLIT(MID(C1984,2,LEN(C1984)-2), "","")"),2846.0)</f>
        <v>2846</v>
      </c>
      <c r="E1984" s="7"/>
      <c r="F1984" s="7"/>
      <c r="G1984" s="2" t="str">
        <f t="array" ref="G1984">IF(ISBLANK(D1984), "", INDEX(Categories!$B:$B,MATCH(D1984,Categories!$A:$A,0)))</f>
        <v>Food &amp; Beverage Vendors</v>
      </c>
      <c r="H1984" s="7" t="str">
        <f t="array" ref="H1984">IF(ISBLANK(E1984), "", INDEX(Categories!$B:$B,MATCH(E1984,Categories!$A:$A,0)))</f>
        <v/>
      </c>
      <c r="I1984" s="7" t="str">
        <f t="array" ref="I1984">IF(ISBLANK(F1984), "", INDEX(Categories!$B:$B,MATCH(F1984,Categories!$A:$A,0)))</f>
        <v/>
      </c>
      <c r="J1984" s="4"/>
      <c r="K1984" s="4"/>
      <c r="L1984" s="4"/>
      <c r="M1984" s="4"/>
      <c r="N1984" s="4"/>
      <c r="O1984" s="4"/>
      <c r="P1984" s="4"/>
      <c r="Q1984" s="4"/>
    </row>
    <row r="1985">
      <c r="A1985" s="5">
        <v>1984.0</v>
      </c>
      <c r="B1985" s="5" t="s">
        <v>2470</v>
      </c>
      <c r="C1985" s="5" t="s">
        <v>695</v>
      </c>
      <c r="D1985" s="6">
        <f>IFERROR(__xludf.DUMMYFUNCTION("SPLIT(MID(C1985,2,LEN(C1985)-2), "","")"),237.0)</f>
        <v>237</v>
      </c>
      <c r="E1985" s="7"/>
      <c r="F1985" s="7"/>
      <c r="G1985" s="2" t="str">
        <f t="array" ref="G1985">IF(ISBLANK(D1985), "", INDEX(Categories!$B:$B,MATCH(D1985,Categories!$A:$A,0)))</f>
        <v>Restaurants Chinese</v>
      </c>
      <c r="H1985" s="7" t="str">
        <f t="array" ref="H1985">IF(ISBLANK(E1985), "", INDEX(Categories!$B:$B,MATCH(E1985,Categories!$A:$A,0)))</f>
        <v/>
      </c>
      <c r="I1985" s="7" t="str">
        <f t="array" ref="I1985">IF(ISBLANK(F1985), "", INDEX(Categories!$B:$B,MATCH(F1985,Categories!$A:$A,0)))</f>
        <v/>
      </c>
      <c r="J1985" s="4"/>
      <c r="K1985" s="4"/>
      <c r="L1985" s="4"/>
      <c r="M1985" s="4"/>
      <c r="N1985" s="4"/>
      <c r="O1985" s="4"/>
      <c r="P1985" s="4"/>
      <c r="Q1985" s="4"/>
    </row>
    <row r="1986">
      <c r="A1986" s="5">
        <v>1985.0</v>
      </c>
      <c r="B1986" s="5" t="s">
        <v>2471</v>
      </c>
      <c r="C1986" s="5" t="s">
        <v>34</v>
      </c>
      <c r="D1986" s="6">
        <f>IFERROR(__xludf.DUMMYFUNCTION("SPLIT(MID(C1986,2,LEN(C1986)-2), "","")"),228.0)</f>
        <v>228</v>
      </c>
      <c r="E1986" s="7"/>
      <c r="F1986" s="7"/>
      <c r="G1986" s="2" t="str">
        <f t="array" ref="G1986">IF(ISBLANK(D1986), "", INDEX(Categories!$B:$B,MATCH(D1986,Categories!$A:$A,0)))</f>
        <v>Restaurants</v>
      </c>
      <c r="H1986" s="7" t="str">
        <f t="array" ref="H1986">IF(ISBLANK(E1986), "", INDEX(Categories!$B:$B,MATCH(E1986,Categories!$A:$A,0)))</f>
        <v/>
      </c>
      <c r="I1986" s="7" t="str">
        <f t="array" ref="I1986">IF(ISBLANK(F1986), "", INDEX(Categories!$B:$B,MATCH(F1986,Categories!$A:$A,0)))</f>
        <v/>
      </c>
      <c r="J1986" s="4"/>
      <c r="K1986" s="4"/>
      <c r="L1986" s="4"/>
      <c r="M1986" s="4"/>
      <c r="N1986" s="4"/>
      <c r="O1986" s="4"/>
      <c r="P1986" s="4"/>
      <c r="Q1986" s="4"/>
    </row>
    <row r="1987">
      <c r="A1987" s="5">
        <v>1986.0</v>
      </c>
      <c r="B1987" s="5" t="s">
        <v>2472</v>
      </c>
      <c r="C1987" s="5" t="s">
        <v>87</v>
      </c>
      <c r="D1987" s="6">
        <f>IFERROR(__xludf.DUMMYFUNCTION("SPLIT(MID(C1987,2,LEN(C1987)-2), "","")"),168.0)</f>
        <v>168</v>
      </c>
      <c r="E1987" s="7"/>
      <c r="F1987" s="7"/>
      <c r="G1987" s="2" t="str">
        <f t="array" ref="G1987">IF(ISBLANK(D1987), "", INDEX(Categories!$B:$B,MATCH(D1987,Categories!$A:$A,0)))</f>
        <v>Hotels &amp; Motels</v>
      </c>
      <c r="H1987" s="7" t="str">
        <f t="array" ref="H1987">IF(ISBLANK(E1987), "", INDEX(Categories!$B:$B,MATCH(E1987,Categories!$A:$A,0)))</f>
        <v/>
      </c>
      <c r="I1987" s="7" t="str">
        <f t="array" ref="I1987">IF(ISBLANK(F1987), "", INDEX(Categories!$B:$B,MATCH(F1987,Categories!$A:$A,0)))</f>
        <v/>
      </c>
      <c r="J1987" s="4"/>
      <c r="K1987" s="4"/>
      <c r="L1987" s="4"/>
      <c r="M1987" s="4"/>
      <c r="N1987" s="4"/>
      <c r="O1987" s="4"/>
      <c r="P1987" s="4"/>
      <c r="Q1987" s="4"/>
    </row>
    <row r="1988">
      <c r="A1988" s="5">
        <v>1987.0</v>
      </c>
      <c r="B1988" s="5" t="s">
        <v>2473</v>
      </c>
      <c r="C1988" s="5" t="s">
        <v>307</v>
      </c>
      <c r="D1988" s="6">
        <f>IFERROR(__xludf.DUMMYFUNCTION("SPLIT(MID(C1988,2,LEN(C1988)-2), "","")"),241.0)</f>
        <v>241</v>
      </c>
      <c r="E1988" s="7"/>
      <c r="F1988" s="7"/>
      <c r="G1988" s="2" t="str">
        <f t="array" ref="G1988">IF(ISBLANK(D1988), "", INDEX(Categories!$B:$B,MATCH(D1988,Categories!$A:$A,0)))</f>
        <v>Restaurants Mexican</v>
      </c>
      <c r="H1988" s="7" t="str">
        <f t="array" ref="H1988">IF(ISBLANK(E1988), "", INDEX(Categories!$B:$B,MATCH(E1988,Categories!$A:$A,0)))</f>
        <v/>
      </c>
      <c r="I1988" s="7" t="str">
        <f t="array" ref="I1988">IF(ISBLANK(F1988), "", INDEX(Categories!$B:$B,MATCH(F1988,Categories!$A:$A,0)))</f>
        <v/>
      </c>
      <c r="J1988" s="4"/>
      <c r="K1988" s="4"/>
      <c r="L1988" s="4"/>
      <c r="M1988" s="4"/>
      <c r="N1988" s="4"/>
      <c r="O1988" s="4"/>
      <c r="P1988" s="4"/>
      <c r="Q1988" s="4"/>
    </row>
    <row r="1989">
      <c r="A1989" s="5">
        <v>1988.0</v>
      </c>
      <c r="B1989" s="5" t="s">
        <v>2474</v>
      </c>
      <c r="C1989" s="5" t="s">
        <v>87</v>
      </c>
      <c r="D1989" s="6">
        <f>IFERROR(__xludf.DUMMYFUNCTION("SPLIT(MID(C1989,2,LEN(C1989)-2), "","")"),168.0)</f>
        <v>168</v>
      </c>
      <c r="E1989" s="7"/>
      <c r="F1989" s="7"/>
      <c r="G1989" s="2" t="str">
        <f t="array" ref="G1989">IF(ISBLANK(D1989), "", INDEX(Categories!$B:$B,MATCH(D1989,Categories!$A:$A,0)))</f>
        <v>Hotels &amp; Motels</v>
      </c>
      <c r="H1989" s="7" t="str">
        <f t="array" ref="H1989">IF(ISBLANK(E1989), "", INDEX(Categories!$B:$B,MATCH(E1989,Categories!$A:$A,0)))</f>
        <v/>
      </c>
      <c r="I1989" s="7" t="str">
        <f t="array" ref="I1989">IF(ISBLANK(F1989), "", INDEX(Categories!$B:$B,MATCH(F1989,Categories!$A:$A,0)))</f>
        <v/>
      </c>
      <c r="J1989" s="4"/>
      <c r="K1989" s="4"/>
      <c r="L1989" s="4"/>
      <c r="M1989" s="4"/>
      <c r="N1989" s="4"/>
      <c r="O1989" s="4"/>
      <c r="P1989" s="4"/>
      <c r="Q1989" s="4"/>
    </row>
    <row r="1990">
      <c r="A1990" s="5">
        <v>1989.0</v>
      </c>
      <c r="B1990" s="5" t="s">
        <v>2475</v>
      </c>
      <c r="C1990" s="5" t="s">
        <v>87</v>
      </c>
      <c r="D1990" s="6">
        <f>IFERROR(__xludf.DUMMYFUNCTION("SPLIT(MID(C1990,2,LEN(C1990)-2), "","")"),168.0)</f>
        <v>168</v>
      </c>
      <c r="E1990" s="7"/>
      <c r="F1990" s="7"/>
      <c r="G1990" s="2" t="str">
        <f t="array" ref="G1990">IF(ISBLANK(D1990), "", INDEX(Categories!$B:$B,MATCH(D1990,Categories!$A:$A,0)))</f>
        <v>Hotels &amp; Motels</v>
      </c>
      <c r="H1990" s="7" t="str">
        <f t="array" ref="H1990">IF(ISBLANK(E1990), "", INDEX(Categories!$B:$B,MATCH(E1990,Categories!$A:$A,0)))</f>
        <v/>
      </c>
      <c r="I1990" s="7" t="str">
        <f t="array" ref="I1990">IF(ISBLANK(F1990), "", INDEX(Categories!$B:$B,MATCH(F1990,Categories!$A:$A,0)))</f>
        <v/>
      </c>
      <c r="J1990" s="4"/>
      <c r="K1990" s="4"/>
      <c r="L1990" s="4"/>
      <c r="M1990" s="4"/>
      <c r="N1990" s="4"/>
      <c r="O1990" s="4"/>
      <c r="P1990" s="4"/>
      <c r="Q1990" s="4"/>
    </row>
    <row r="1991">
      <c r="A1991" s="5">
        <v>1990.0</v>
      </c>
      <c r="B1991" s="5" t="s">
        <v>2476</v>
      </c>
      <c r="C1991" s="5" t="s">
        <v>119</v>
      </c>
      <c r="D1991" s="6">
        <f>IFERROR(__xludf.DUMMYFUNCTION("SPLIT(MID(C1991,2,LEN(C1991)-2), "","")"),590.0)</f>
        <v>590</v>
      </c>
      <c r="E1991" s="7"/>
      <c r="F1991" s="7"/>
      <c r="G1991" s="2" t="str">
        <f t="array" ref="G1991">IF(ISBLANK(D1991), "", INDEX(Categories!$B:$B,MATCH(D1991,Categories!$A:$A,0)))</f>
        <v>Grocers</v>
      </c>
      <c r="H1991" s="7" t="str">
        <f t="array" ref="H1991">IF(ISBLANK(E1991), "", INDEX(Categories!$B:$B,MATCH(E1991,Categories!$A:$A,0)))</f>
        <v/>
      </c>
      <c r="I1991" s="7" t="str">
        <f t="array" ref="I1991">IF(ISBLANK(F1991), "", INDEX(Categories!$B:$B,MATCH(F1991,Categories!$A:$A,0)))</f>
        <v/>
      </c>
      <c r="J1991" s="4"/>
      <c r="K1991" s="4"/>
      <c r="L1991" s="4"/>
      <c r="M1991" s="4"/>
      <c r="N1991" s="4"/>
      <c r="O1991" s="4"/>
      <c r="P1991" s="4"/>
      <c r="Q1991" s="4"/>
    </row>
    <row r="1992">
      <c r="A1992" s="5">
        <v>1991.0</v>
      </c>
      <c r="B1992" s="5" t="s">
        <v>2477</v>
      </c>
      <c r="C1992" s="5" t="s">
        <v>34</v>
      </c>
      <c r="D1992" s="6">
        <f>IFERROR(__xludf.DUMMYFUNCTION("SPLIT(MID(C1992,2,LEN(C1992)-2), "","")"),228.0)</f>
        <v>228</v>
      </c>
      <c r="E1992" s="7"/>
      <c r="F1992" s="7"/>
      <c r="G1992" s="2" t="str">
        <f t="array" ref="G1992">IF(ISBLANK(D1992), "", INDEX(Categories!$B:$B,MATCH(D1992,Categories!$A:$A,0)))</f>
        <v>Restaurants</v>
      </c>
      <c r="H1992" s="7" t="str">
        <f t="array" ref="H1992">IF(ISBLANK(E1992), "", INDEX(Categories!$B:$B,MATCH(E1992,Categories!$A:$A,0)))</f>
        <v/>
      </c>
      <c r="I1992" s="7" t="str">
        <f t="array" ref="I1992">IF(ISBLANK(F1992), "", INDEX(Categories!$B:$B,MATCH(F1992,Categories!$A:$A,0)))</f>
        <v/>
      </c>
      <c r="J1992" s="4"/>
      <c r="K1992" s="4"/>
      <c r="L1992" s="4"/>
      <c r="M1992" s="4"/>
      <c r="N1992" s="4"/>
      <c r="O1992" s="4"/>
      <c r="P1992" s="4"/>
      <c r="Q1992" s="4"/>
    </row>
    <row r="1993">
      <c r="A1993" s="5">
        <v>1992.0</v>
      </c>
      <c r="B1993" s="5" t="s">
        <v>2478</v>
      </c>
      <c r="C1993" s="5" t="s">
        <v>58</v>
      </c>
      <c r="D1993" s="6">
        <f>IFERROR(__xludf.DUMMYFUNCTION("SPLIT(MID(C1993,2,LEN(C1993)-2), "","")"),1170.0)</f>
        <v>1170</v>
      </c>
      <c r="E1993" s="7"/>
      <c r="F1993" s="7"/>
      <c r="G1993" s="2" t="str">
        <f t="array" ref="G1993">IF(ISBLANK(D1993), "", INDEX(Categories!$B:$B,MATCH(D1993,Categories!$A:$A,0)))</f>
        <v>Gasoline Retail</v>
      </c>
      <c r="H1993" s="7" t="str">
        <f t="array" ref="H1993">IF(ISBLANK(E1993), "", INDEX(Categories!$B:$B,MATCH(E1993,Categories!$A:$A,0)))</f>
        <v/>
      </c>
      <c r="I1993" s="7" t="str">
        <f t="array" ref="I1993">IF(ISBLANK(F1993), "", INDEX(Categories!$B:$B,MATCH(F1993,Categories!$A:$A,0)))</f>
        <v/>
      </c>
      <c r="J1993" s="4"/>
      <c r="K1993" s="4"/>
      <c r="L1993" s="4"/>
      <c r="M1993" s="4"/>
      <c r="N1993" s="4"/>
      <c r="O1993" s="4"/>
      <c r="P1993" s="4"/>
      <c r="Q1993" s="4"/>
    </row>
    <row r="1994">
      <c r="A1994" s="5">
        <v>1993.0</v>
      </c>
      <c r="B1994" s="5" t="s">
        <v>2479</v>
      </c>
      <c r="C1994" s="5" t="s">
        <v>522</v>
      </c>
      <c r="D1994" s="6">
        <f>IFERROR(__xludf.DUMMYFUNCTION("SPLIT(MID(C1994,2,LEN(C1994)-2), "","")"),683.0)</f>
        <v>683</v>
      </c>
      <c r="E1994" s="7"/>
      <c r="F1994" s="7"/>
      <c r="G1994" s="2" t="str">
        <f t="array" ref="G1994">IF(ISBLANK(D1994), "", INDEX(Categories!$B:$B,MATCH(D1994,Categories!$A:$A,0)))</f>
        <v>Bakeries</v>
      </c>
      <c r="H1994" s="7" t="str">
        <f t="array" ref="H1994">IF(ISBLANK(E1994), "", INDEX(Categories!$B:$B,MATCH(E1994,Categories!$A:$A,0)))</f>
        <v/>
      </c>
      <c r="I1994" s="7" t="str">
        <f t="array" ref="I1994">IF(ISBLANK(F1994), "", INDEX(Categories!$B:$B,MATCH(F1994,Categories!$A:$A,0)))</f>
        <v/>
      </c>
      <c r="J1994" s="4"/>
      <c r="K1994" s="4"/>
      <c r="L1994" s="4"/>
      <c r="M1994" s="4"/>
      <c r="N1994" s="4"/>
      <c r="O1994" s="4"/>
      <c r="P1994" s="4"/>
      <c r="Q1994" s="4"/>
    </row>
    <row r="1995">
      <c r="A1995" s="5">
        <v>1994.0</v>
      </c>
      <c r="B1995" s="5" t="s">
        <v>2480</v>
      </c>
      <c r="C1995" s="5" t="s">
        <v>18</v>
      </c>
      <c r="D1995" s="6">
        <f>IFERROR(__xludf.DUMMYFUNCTION("SPLIT(MID(C1995,2,LEN(C1995)-2), "","")"),121.0)</f>
        <v>121</v>
      </c>
      <c r="E1995" s="7"/>
      <c r="F1995" s="7"/>
      <c r="G1995" s="2" t="str">
        <f t="array" ref="G1995">IF(ISBLANK(D1995), "", INDEX(Categories!$B:$B,MATCH(D1995,Categories!$A:$A,0)))</f>
        <v>Insurance</v>
      </c>
      <c r="H1995" s="7" t="str">
        <f t="array" ref="H1995">IF(ISBLANK(E1995), "", INDEX(Categories!$B:$B,MATCH(E1995,Categories!$A:$A,0)))</f>
        <v/>
      </c>
      <c r="I1995" s="7" t="str">
        <f t="array" ref="I1995">IF(ISBLANK(F1995), "", INDEX(Categories!$B:$B,MATCH(F1995,Categories!$A:$A,0)))</f>
        <v/>
      </c>
      <c r="J1995" s="4"/>
      <c r="K1995" s="4"/>
      <c r="L1995" s="4"/>
      <c r="M1995" s="4"/>
      <c r="N1995" s="4"/>
      <c r="O1995" s="4"/>
      <c r="P1995" s="4"/>
      <c r="Q1995" s="4"/>
    </row>
    <row r="1996">
      <c r="A1996" s="5">
        <v>1995.0</v>
      </c>
      <c r="B1996" s="5" t="s">
        <v>2481</v>
      </c>
      <c r="C1996" s="5" t="s">
        <v>1600</v>
      </c>
      <c r="D1996" s="6">
        <f>IFERROR(__xludf.DUMMYFUNCTION("SPLIT(MID(C1996,2,LEN(C1996)-2), "","")"),2595.0)</f>
        <v>2595</v>
      </c>
      <c r="E1996" s="7"/>
      <c r="F1996" s="7"/>
      <c r="G1996" s="2" t="str">
        <f t="array" ref="G1996">IF(ISBLANK(D1996), "", INDEX(Categories!$B:$B,MATCH(D1996,Categories!$A:$A,0)))</f>
        <v>Health &amp; Fitness Clubs</v>
      </c>
      <c r="H1996" s="7" t="str">
        <f t="array" ref="H1996">IF(ISBLANK(E1996), "", INDEX(Categories!$B:$B,MATCH(E1996,Categories!$A:$A,0)))</f>
        <v/>
      </c>
      <c r="I1996" s="7" t="str">
        <f t="array" ref="I1996">IF(ISBLANK(F1996), "", INDEX(Categories!$B:$B,MATCH(F1996,Categories!$A:$A,0)))</f>
        <v/>
      </c>
      <c r="J1996" s="4"/>
      <c r="K1996" s="4"/>
      <c r="L1996" s="4"/>
      <c r="M1996" s="4"/>
      <c r="N1996" s="4"/>
      <c r="O1996" s="4"/>
      <c r="P1996" s="4"/>
      <c r="Q1996" s="4"/>
    </row>
    <row r="1997">
      <c r="A1997" s="5">
        <v>1996.0</v>
      </c>
      <c r="B1997" s="5" t="s">
        <v>2482</v>
      </c>
      <c r="C1997" s="5" t="s">
        <v>1600</v>
      </c>
      <c r="D1997" s="6">
        <f>IFERROR(__xludf.DUMMYFUNCTION("SPLIT(MID(C1997,2,LEN(C1997)-2), "","")"),2595.0)</f>
        <v>2595</v>
      </c>
      <c r="E1997" s="7"/>
      <c r="F1997" s="7"/>
      <c r="G1997" s="2" t="str">
        <f t="array" ref="G1997">IF(ISBLANK(D1997), "", INDEX(Categories!$B:$B,MATCH(D1997,Categories!$A:$A,0)))</f>
        <v>Health &amp; Fitness Clubs</v>
      </c>
      <c r="H1997" s="7" t="str">
        <f t="array" ref="H1997">IF(ISBLANK(E1997), "", INDEX(Categories!$B:$B,MATCH(E1997,Categories!$A:$A,0)))</f>
        <v/>
      </c>
      <c r="I1997" s="7" t="str">
        <f t="array" ref="I1997">IF(ISBLANK(F1997), "", INDEX(Categories!$B:$B,MATCH(F1997,Categories!$A:$A,0)))</f>
        <v/>
      </c>
      <c r="J1997" s="4"/>
      <c r="K1997" s="4"/>
      <c r="L1997" s="4"/>
      <c r="M1997" s="4"/>
      <c r="N1997" s="4"/>
      <c r="O1997" s="4"/>
      <c r="P1997" s="4"/>
      <c r="Q1997" s="4"/>
    </row>
    <row r="1998">
      <c r="A1998" s="5">
        <v>1997.0</v>
      </c>
      <c r="B1998" s="5" t="s">
        <v>2483</v>
      </c>
      <c r="C1998" s="5" t="s">
        <v>58</v>
      </c>
      <c r="D1998" s="6">
        <f>IFERROR(__xludf.DUMMYFUNCTION("SPLIT(MID(C1998,2,LEN(C1998)-2), "","")"),1170.0)</f>
        <v>1170</v>
      </c>
      <c r="E1998" s="7"/>
      <c r="F1998" s="7"/>
      <c r="G1998" s="2" t="str">
        <f t="array" ref="G1998">IF(ISBLANK(D1998), "", INDEX(Categories!$B:$B,MATCH(D1998,Categories!$A:$A,0)))</f>
        <v>Gasoline Retail</v>
      </c>
      <c r="H1998" s="7" t="str">
        <f t="array" ref="H1998">IF(ISBLANK(E1998), "", INDEX(Categories!$B:$B,MATCH(E1998,Categories!$A:$A,0)))</f>
        <v/>
      </c>
      <c r="I1998" s="7" t="str">
        <f t="array" ref="I1998">IF(ISBLANK(F1998), "", INDEX(Categories!$B:$B,MATCH(F1998,Categories!$A:$A,0)))</f>
        <v/>
      </c>
      <c r="J1998" s="4"/>
      <c r="K1998" s="4"/>
      <c r="L1998" s="4"/>
      <c r="M1998" s="4"/>
      <c r="N1998" s="4"/>
      <c r="O1998" s="4"/>
      <c r="P1998" s="4"/>
      <c r="Q1998" s="4"/>
    </row>
    <row r="1999">
      <c r="A1999" s="5">
        <v>1998.0</v>
      </c>
      <c r="B1999" s="5" t="s">
        <v>2484</v>
      </c>
      <c r="C1999" s="5" t="s">
        <v>10</v>
      </c>
      <c r="D1999" s="6">
        <f>IFERROR(__xludf.DUMMYFUNCTION("SPLIT(MID(C1999,2,LEN(C1999)-2), "","")"),1168.0)</f>
        <v>1168</v>
      </c>
      <c r="E1999" s="7"/>
      <c r="F1999" s="7"/>
      <c r="G1999" s="2" t="str">
        <f t="array" ref="G1999">IF(ISBLANK(D1999), "", INDEX(Categories!$B:$B,MATCH(D1999,Categories!$A:$A,0)))</f>
        <v>Convenience Stores</v>
      </c>
      <c r="H1999" s="7" t="str">
        <f t="array" ref="H1999">IF(ISBLANK(E1999), "", INDEX(Categories!$B:$B,MATCH(E1999,Categories!$A:$A,0)))</f>
        <v/>
      </c>
      <c r="I1999" s="7" t="str">
        <f t="array" ref="I1999">IF(ISBLANK(F1999), "", INDEX(Categories!$B:$B,MATCH(F1999,Categories!$A:$A,0)))</f>
        <v/>
      </c>
      <c r="J1999" s="4"/>
      <c r="K1999" s="4"/>
      <c r="L1999" s="4"/>
      <c r="M1999" s="4"/>
      <c r="N1999" s="4"/>
      <c r="O1999" s="4"/>
      <c r="P1999" s="4"/>
      <c r="Q1999" s="4"/>
    </row>
    <row r="2000">
      <c r="A2000" s="5">
        <v>1999.0</v>
      </c>
      <c r="B2000" s="5" t="s">
        <v>2485</v>
      </c>
      <c r="C2000" s="5" t="s">
        <v>58</v>
      </c>
      <c r="D2000" s="6">
        <f>IFERROR(__xludf.DUMMYFUNCTION("SPLIT(MID(C2000,2,LEN(C2000)-2), "","")"),1170.0)</f>
        <v>1170</v>
      </c>
      <c r="E2000" s="7"/>
      <c r="F2000" s="7"/>
      <c r="G2000" s="2" t="str">
        <f t="array" ref="G2000">IF(ISBLANK(D2000), "", INDEX(Categories!$B:$B,MATCH(D2000,Categories!$A:$A,0)))</f>
        <v>Gasoline Retail</v>
      </c>
      <c r="H2000" s="7" t="str">
        <f t="array" ref="H2000">IF(ISBLANK(E2000), "", INDEX(Categories!$B:$B,MATCH(E2000,Categories!$A:$A,0)))</f>
        <v/>
      </c>
      <c r="I2000" s="7" t="str">
        <f t="array" ref="I2000">IF(ISBLANK(F2000), "", INDEX(Categories!$B:$B,MATCH(F2000,Categories!$A:$A,0)))</f>
        <v/>
      </c>
      <c r="J2000" s="4"/>
      <c r="K2000" s="4"/>
      <c r="L2000" s="4"/>
      <c r="M2000" s="4"/>
      <c r="N2000" s="4"/>
      <c r="O2000" s="4"/>
      <c r="P2000" s="4"/>
      <c r="Q2000" s="4"/>
    </row>
    <row r="2001">
      <c r="A2001" s="5">
        <v>2000.0</v>
      </c>
      <c r="B2001" s="5" t="s">
        <v>2486</v>
      </c>
      <c r="C2001" s="5" t="s">
        <v>303</v>
      </c>
      <c r="D2001" s="6">
        <f>IFERROR(__xludf.DUMMYFUNCTION("SPLIT(MID(C2001,2,LEN(C2001)-2), "","")"),1241.0)</f>
        <v>1241</v>
      </c>
      <c r="E2001" s="7"/>
      <c r="F2001" s="7"/>
      <c r="G2001" s="2" t="str">
        <f t="array" ref="G2001">IF(ISBLANK(D2001), "", INDEX(Categories!$B:$B,MATCH(D2001,Categories!$A:$A,0)))</f>
        <v>Clothing &amp; Accessories</v>
      </c>
      <c r="H2001" s="7" t="str">
        <f t="array" ref="H2001">IF(ISBLANK(E2001), "", INDEX(Categories!$B:$B,MATCH(E2001,Categories!$A:$A,0)))</f>
        <v/>
      </c>
      <c r="I2001" s="7" t="str">
        <f t="array" ref="I2001">IF(ISBLANK(F2001), "", INDEX(Categories!$B:$B,MATCH(F2001,Categories!$A:$A,0)))</f>
        <v/>
      </c>
      <c r="J2001" s="4"/>
      <c r="K2001" s="4"/>
      <c r="L2001" s="4"/>
      <c r="M2001" s="4"/>
      <c r="N2001" s="4"/>
      <c r="O2001" s="4"/>
      <c r="P2001" s="4"/>
      <c r="Q2001" s="4"/>
    </row>
    <row r="2002">
      <c r="A2002" s="5">
        <v>2001.0</v>
      </c>
      <c r="B2002" s="5" t="s">
        <v>2487</v>
      </c>
      <c r="C2002" s="5" t="s">
        <v>837</v>
      </c>
      <c r="D2002" s="6">
        <f>IFERROR(__xludf.DUMMYFUNCTION("SPLIT(MID(C2002,2,LEN(C2002)-2), "","")"),2768.0)</f>
        <v>2768</v>
      </c>
      <c r="E2002" s="7"/>
      <c r="F2002" s="7"/>
      <c r="G2002" s="2" t="str">
        <f t="array" ref="G2002">IF(ISBLANK(D2002), "", INDEX(Categories!$B:$B,MATCH(D2002,Categories!$A:$A,0)))</f>
        <v>Building Materials &amp; Supplies</v>
      </c>
      <c r="H2002" s="7" t="str">
        <f t="array" ref="H2002">IF(ISBLANK(E2002), "", INDEX(Categories!$B:$B,MATCH(E2002,Categories!$A:$A,0)))</f>
        <v/>
      </c>
      <c r="I2002" s="7" t="str">
        <f t="array" ref="I2002">IF(ISBLANK(F2002), "", INDEX(Categories!$B:$B,MATCH(F2002,Categories!$A:$A,0)))</f>
        <v/>
      </c>
      <c r="J2002" s="4"/>
      <c r="K2002" s="4"/>
      <c r="L2002" s="4"/>
      <c r="M2002" s="4"/>
      <c r="N2002" s="4"/>
      <c r="O2002" s="4"/>
      <c r="P2002" s="4"/>
      <c r="Q2002" s="4"/>
    </row>
    <row r="2003">
      <c r="A2003" s="5">
        <v>2002.0</v>
      </c>
      <c r="B2003" s="5" t="s">
        <v>2488</v>
      </c>
      <c r="C2003" s="5" t="s">
        <v>553</v>
      </c>
      <c r="D2003" s="6">
        <f>IFERROR(__xludf.DUMMYFUNCTION("SPLIT(MID(C2003,2,LEN(C2003)-2), "","")"),739.0)</f>
        <v>739</v>
      </c>
      <c r="E2003" s="7"/>
      <c r="F2003" s="7"/>
      <c r="G2003" s="2" t="str">
        <f t="array" ref="G2003">IF(ISBLANK(D2003), "", INDEX(Categories!$B:$B,MATCH(D2003,Categories!$A:$A,0)))</f>
        <v>Shoes &amp; Shoe Repairs</v>
      </c>
      <c r="H2003" s="7" t="str">
        <f t="array" ref="H2003">IF(ISBLANK(E2003), "", INDEX(Categories!$B:$B,MATCH(E2003,Categories!$A:$A,0)))</f>
        <v/>
      </c>
      <c r="I2003" s="7" t="str">
        <f t="array" ref="I2003">IF(ISBLANK(F2003), "", INDEX(Categories!$B:$B,MATCH(F2003,Categories!$A:$A,0)))</f>
        <v/>
      </c>
      <c r="J2003" s="4"/>
      <c r="K2003" s="4"/>
      <c r="L2003" s="4"/>
      <c r="M2003" s="4"/>
      <c r="N2003" s="4"/>
      <c r="O2003" s="4"/>
      <c r="P2003" s="4"/>
      <c r="Q2003" s="4"/>
    </row>
    <row r="2004">
      <c r="A2004" s="5">
        <v>2003.0</v>
      </c>
      <c r="B2004" s="5" t="s">
        <v>2489</v>
      </c>
      <c r="C2004" s="5" t="s">
        <v>2490</v>
      </c>
      <c r="D2004" s="6">
        <f>IFERROR(__xludf.DUMMYFUNCTION("SPLIT(MID(C2004,2,LEN(C2004)-2), "","")"),1891.0)</f>
        <v>1891</v>
      </c>
      <c r="E2004" s="7"/>
      <c r="F2004" s="7"/>
      <c r="G2004" s="2" t="str">
        <f t="array" ref="G2004">IF(ISBLANK(D2004), "", INDEX(Categories!$B:$B,MATCH(D2004,Categories!$A:$A,0)))</f>
        <v>Portable Toilet Rental</v>
      </c>
      <c r="H2004" s="7" t="str">
        <f t="array" ref="H2004">IF(ISBLANK(E2004), "", INDEX(Categories!$B:$B,MATCH(E2004,Categories!$A:$A,0)))</f>
        <v/>
      </c>
      <c r="I2004" s="7" t="str">
        <f t="array" ref="I2004">IF(ISBLANK(F2004), "", INDEX(Categories!$B:$B,MATCH(F2004,Categories!$A:$A,0)))</f>
        <v/>
      </c>
      <c r="J2004" s="4"/>
      <c r="K2004" s="4"/>
      <c r="L2004" s="4"/>
      <c r="M2004" s="4"/>
      <c r="N2004" s="4"/>
      <c r="O2004" s="4"/>
      <c r="P2004" s="4"/>
      <c r="Q2004" s="4"/>
    </row>
    <row r="2005">
      <c r="A2005" s="5">
        <v>2004.0</v>
      </c>
      <c r="B2005" s="5" t="s">
        <v>2491</v>
      </c>
      <c r="C2005" s="5" t="s">
        <v>1273</v>
      </c>
      <c r="D2005" s="6">
        <f>IFERROR(__xludf.DUMMYFUNCTION("SPLIT(MID(C2005,2,LEN(C2005)-2), "","")"),690.0)</f>
        <v>690</v>
      </c>
      <c r="E2005" s="7"/>
      <c r="F2005" s="7"/>
      <c r="G2005" s="2" t="str">
        <f t="array" ref="G2005">IF(ISBLANK(D2005), "", INDEX(Categories!$B:$B,MATCH(D2005,Categories!$A:$A,0)))</f>
        <v>Gift Baskets &amp; Parcels</v>
      </c>
      <c r="H2005" s="7" t="str">
        <f t="array" ref="H2005">IF(ISBLANK(E2005), "", INDEX(Categories!$B:$B,MATCH(E2005,Categories!$A:$A,0)))</f>
        <v/>
      </c>
      <c r="I2005" s="7" t="str">
        <f t="array" ref="I2005">IF(ISBLANK(F2005), "", INDEX(Categories!$B:$B,MATCH(F2005,Categories!$A:$A,0)))</f>
        <v/>
      </c>
      <c r="J2005" s="4"/>
      <c r="K2005" s="4"/>
      <c r="L2005" s="4"/>
      <c r="M2005" s="4"/>
      <c r="N2005" s="4"/>
      <c r="O2005" s="4"/>
      <c r="P2005" s="4"/>
      <c r="Q2005" s="4"/>
    </row>
    <row r="2006">
      <c r="A2006" s="5">
        <v>2005.0</v>
      </c>
      <c r="B2006" s="5" t="s">
        <v>2492</v>
      </c>
      <c r="C2006" s="5" t="s">
        <v>303</v>
      </c>
      <c r="D2006" s="6">
        <f>IFERROR(__xludf.DUMMYFUNCTION("SPLIT(MID(C2006,2,LEN(C2006)-2), "","")"),1241.0)</f>
        <v>1241</v>
      </c>
      <c r="E2006" s="7"/>
      <c r="F2006" s="7"/>
      <c r="G2006" s="2" t="str">
        <f t="array" ref="G2006">IF(ISBLANK(D2006), "", INDEX(Categories!$B:$B,MATCH(D2006,Categories!$A:$A,0)))</f>
        <v>Clothing &amp; Accessories</v>
      </c>
      <c r="H2006" s="7" t="str">
        <f t="array" ref="H2006">IF(ISBLANK(E2006), "", INDEX(Categories!$B:$B,MATCH(E2006,Categories!$A:$A,0)))</f>
        <v/>
      </c>
      <c r="I2006" s="7" t="str">
        <f t="array" ref="I2006">IF(ISBLANK(F2006), "", INDEX(Categories!$B:$B,MATCH(F2006,Categories!$A:$A,0)))</f>
        <v/>
      </c>
      <c r="J2006" s="4"/>
      <c r="K2006" s="4"/>
      <c r="L2006" s="4"/>
      <c r="M2006" s="4"/>
      <c r="N2006" s="4"/>
      <c r="O2006" s="4"/>
      <c r="P2006" s="4"/>
      <c r="Q2006" s="4"/>
    </row>
    <row r="2007">
      <c r="A2007" s="5">
        <v>2006.0</v>
      </c>
      <c r="B2007" s="5" t="s">
        <v>2493</v>
      </c>
      <c r="C2007" s="5" t="s">
        <v>2494</v>
      </c>
      <c r="D2007" s="6">
        <f>IFERROR(__xludf.DUMMYFUNCTION("SPLIT(MID(C2007,2,LEN(C2007)-2), "","")"),542.0)</f>
        <v>542</v>
      </c>
      <c r="E2007" s="7"/>
      <c r="F2007" s="7"/>
      <c r="G2007" s="2" t="str">
        <f t="array" ref="G2007">IF(ISBLANK(D2007), "", INDEX(Categories!$B:$B,MATCH(D2007,Categories!$A:$A,0)))</f>
        <v>Hair &amp; Beauty Supplies, Service &amp; Equipment</v>
      </c>
      <c r="H2007" s="7" t="str">
        <f t="array" ref="H2007">IF(ISBLANK(E2007), "", INDEX(Categories!$B:$B,MATCH(E2007,Categories!$A:$A,0)))</f>
        <v/>
      </c>
      <c r="I2007" s="7" t="str">
        <f t="array" ref="I2007">IF(ISBLANK(F2007), "", INDEX(Categories!$B:$B,MATCH(F2007,Categories!$A:$A,0)))</f>
        <v/>
      </c>
      <c r="J2007" s="4"/>
      <c r="K2007" s="4"/>
      <c r="L2007" s="4"/>
      <c r="M2007" s="4"/>
      <c r="N2007" s="4"/>
      <c r="O2007" s="4"/>
      <c r="P2007" s="4"/>
      <c r="Q2007" s="4"/>
    </row>
    <row r="2008">
      <c r="A2008" s="5">
        <v>2007.0</v>
      </c>
      <c r="B2008" s="5" t="s">
        <v>2495</v>
      </c>
      <c r="C2008" s="5" t="s">
        <v>87</v>
      </c>
      <c r="D2008" s="6">
        <f>IFERROR(__xludf.DUMMYFUNCTION("SPLIT(MID(C2008,2,LEN(C2008)-2), "","")"),168.0)</f>
        <v>168</v>
      </c>
      <c r="E2008" s="7"/>
      <c r="F2008" s="7"/>
      <c r="G2008" s="2" t="str">
        <f t="array" ref="G2008">IF(ISBLANK(D2008), "", INDEX(Categories!$B:$B,MATCH(D2008,Categories!$A:$A,0)))</f>
        <v>Hotels &amp; Motels</v>
      </c>
      <c r="H2008" s="7" t="str">
        <f t="array" ref="H2008">IF(ISBLANK(E2008), "", INDEX(Categories!$B:$B,MATCH(E2008,Categories!$A:$A,0)))</f>
        <v/>
      </c>
      <c r="I2008" s="7" t="str">
        <f t="array" ref="I2008">IF(ISBLANK(F2008), "", INDEX(Categories!$B:$B,MATCH(F2008,Categories!$A:$A,0)))</f>
        <v/>
      </c>
      <c r="J2008" s="4"/>
      <c r="K2008" s="4"/>
      <c r="L2008" s="4"/>
      <c r="M2008" s="4"/>
      <c r="N2008" s="4"/>
      <c r="O2008" s="4"/>
      <c r="P2008" s="4"/>
      <c r="Q2008" s="4"/>
    </row>
    <row r="2009">
      <c r="A2009" s="5">
        <v>2008.0</v>
      </c>
      <c r="B2009" s="5" t="s">
        <v>2496</v>
      </c>
      <c r="C2009" s="5" t="s">
        <v>274</v>
      </c>
      <c r="D2009" s="6">
        <f>IFERROR(__xludf.DUMMYFUNCTION("SPLIT(MID(C2009,2,LEN(C2009)-2), "","")"),619.0)</f>
        <v>619</v>
      </c>
      <c r="E2009" s="7"/>
      <c r="F2009" s="7"/>
      <c r="G2009" s="2" t="str">
        <f t="array" ref="G2009">IF(ISBLANK(D2009), "", INDEX(Categories!$B:$B,MATCH(D2009,Categories!$A:$A,0)))</f>
        <v>Jewelry</v>
      </c>
      <c r="H2009" s="7" t="str">
        <f t="array" ref="H2009">IF(ISBLANK(E2009), "", INDEX(Categories!$B:$B,MATCH(E2009,Categories!$A:$A,0)))</f>
        <v/>
      </c>
      <c r="I2009" s="7" t="str">
        <f t="array" ref="I2009">IF(ISBLANK(F2009), "", INDEX(Categories!$B:$B,MATCH(F2009,Categories!$A:$A,0)))</f>
        <v/>
      </c>
      <c r="J2009" s="4"/>
      <c r="K2009" s="4"/>
      <c r="L2009" s="4"/>
      <c r="M2009" s="4"/>
      <c r="N2009" s="4"/>
      <c r="O2009" s="4"/>
      <c r="P2009" s="4"/>
      <c r="Q2009" s="4"/>
    </row>
    <row r="2010">
      <c r="A2010" s="5">
        <v>2009.0</v>
      </c>
      <c r="B2010" s="5" t="s">
        <v>2497</v>
      </c>
      <c r="C2010" s="5" t="s">
        <v>87</v>
      </c>
      <c r="D2010" s="6">
        <f>IFERROR(__xludf.DUMMYFUNCTION("SPLIT(MID(C2010,2,LEN(C2010)-2), "","")"),168.0)</f>
        <v>168</v>
      </c>
      <c r="E2010" s="7"/>
      <c r="F2010" s="7"/>
      <c r="G2010" s="2" t="str">
        <f t="array" ref="G2010">IF(ISBLANK(D2010), "", INDEX(Categories!$B:$B,MATCH(D2010,Categories!$A:$A,0)))</f>
        <v>Hotels &amp; Motels</v>
      </c>
      <c r="H2010" s="7" t="str">
        <f t="array" ref="H2010">IF(ISBLANK(E2010), "", INDEX(Categories!$B:$B,MATCH(E2010,Categories!$A:$A,0)))</f>
        <v/>
      </c>
      <c r="I2010" s="7" t="str">
        <f t="array" ref="I2010">IF(ISBLANK(F2010), "", INDEX(Categories!$B:$B,MATCH(F2010,Categories!$A:$A,0)))</f>
        <v/>
      </c>
      <c r="J2010" s="4"/>
      <c r="K2010" s="4"/>
      <c r="L2010" s="4"/>
      <c r="M2010" s="4"/>
      <c r="N2010" s="4"/>
      <c r="O2010" s="4"/>
      <c r="P2010" s="4"/>
      <c r="Q2010" s="4"/>
    </row>
    <row r="2011">
      <c r="A2011" s="5">
        <v>2010.0</v>
      </c>
      <c r="B2011" s="5" t="s">
        <v>2498</v>
      </c>
      <c r="C2011" s="5" t="s">
        <v>87</v>
      </c>
      <c r="D2011" s="6">
        <f>IFERROR(__xludf.DUMMYFUNCTION("SPLIT(MID(C2011,2,LEN(C2011)-2), "","")"),168.0)</f>
        <v>168</v>
      </c>
      <c r="E2011" s="7"/>
      <c r="F2011" s="7"/>
      <c r="G2011" s="2" t="str">
        <f t="array" ref="G2011">IF(ISBLANK(D2011), "", INDEX(Categories!$B:$B,MATCH(D2011,Categories!$A:$A,0)))</f>
        <v>Hotels &amp; Motels</v>
      </c>
      <c r="H2011" s="7" t="str">
        <f t="array" ref="H2011">IF(ISBLANK(E2011), "", INDEX(Categories!$B:$B,MATCH(E2011,Categories!$A:$A,0)))</f>
        <v/>
      </c>
      <c r="I2011" s="7" t="str">
        <f t="array" ref="I2011">IF(ISBLANK(F2011), "", INDEX(Categories!$B:$B,MATCH(F2011,Categories!$A:$A,0)))</f>
        <v/>
      </c>
      <c r="J2011" s="4"/>
      <c r="K2011" s="4"/>
      <c r="L2011" s="4"/>
      <c r="M2011" s="4"/>
      <c r="N2011" s="4"/>
      <c r="O2011" s="4"/>
      <c r="P2011" s="4"/>
      <c r="Q2011" s="4"/>
    </row>
    <row r="2012">
      <c r="A2012" s="5">
        <v>2011.0</v>
      </c>
      <c r="B2012" s="5" t="s">
        <v>2499</v>
      </c>
      <c r="C2012" s="5" t="s">
        <v>87</v>
      </c>
      <c r="D2012" s="6">
        <f>IFERROR(__xludf.DUMMYFUNCTION("SPLIT(MID(C2012,2,LEN(C2012)-2), "","")"),168.0)</f>
        <v>168</v>
      </c>
      <c r="E2012" s="7"/>
      <c r="F2012" s="7"/>
      <c r="G2012" s="2" t="str">
        <f t="array" ref="G2012">IF(ISBLANK(D2012), "", INDEX(Categories!$B:$B,MATCH(D2012,Categories!$A:$A,0)))</f>
        <v>Hotels &amp; Motels</v>
      </c>
      <c r="H2012" s="7" t="str">
        <f t="array" ref="H2012">IF(ISBLANK(E2012), "", INDEX(Categories!$B:$B,MATCH(E2012,Categories!$A:$A,0)))</f>
        <v/>
      </c>
      <c r="I2012" s="7" t="str">
        <f t="array" ref="I2012">IF(ISBLANK(F2012), "", INDEX(Categories!$B:$B,MATCH(F2012,Categories!$A:$A,0)))</f>
        <v/>
      </c>
      <c r="J2012" s="4"/>
      <c r="K2012" s="4"/>
      <c r="L2012" s="4"/>
      <c r="M2012" s="4"/>
      <c r="N2012" s="4"/>
      <c r="O2012" s="4"/>
      <c r="P2012" s="4"/>
      <c r="Q2012" s="4"/>
    </row>
    <row r="2013">
      <c r="A2013" s="5">
        <v>2012.0</v>
      </c>
      <c r="B2013" s="5" t="s">
        <v>2500</v>
      </c>
      <c r="C2013" s="5" t="s">
        <v>1900</v>
      </c>
      <c r="D2013" s="6">
        <f>IFERROR(__xludf.DUMMYFUNCTION("SPLIT(MID(C2013,2,LEN(C2013)-2), "","")"),464.0)</f>
        <v>464</v>
      </c>
      <c r="E2013" s="7"/>
      <c r="F2013" s="7"/>
      <c r="G2013" s="2" t="str">
        <f t="array" ref="G2013">IF(ISBLANK(D2013), "", INDEX(Categories!$B:$B,MATCH(D2013,Categories!$A:$A,0)))</f>
        <v>Real Estate</v>
      </c>
      <c r="H2013" s="7" t="str">
        <f t="array" ref="H2013">IF(ISBLANK(E2013), "", INDEX(Categories!$B:$B,MATCH(E2013,Categories!$A:$A,0)))</f>
        <v/>
      </c>
      <c r="I2013" s="7" t="str">
        <f t="array" ref="I2013">IF(ISBLANK(F2013), "", INDEX(Categories!$B:$B,MATCH(F2013,Categories!$A:$A,0)))</f>
        <v/>
      </c>
      <c r="J2013" s="4"/>
      <c r="K2013" s="4"/>
      <c r="L2013" s="4"/>
      <c r="M2013" s="4"/>
      <c r="N2013" s="4"/>
      <c r="O2013" s="4"/>
      <c r="P2013" s="4"/>
      <c r="Q2013" s="4"/>
    </row>
    <row r="2014">
      <c r="A2014" s="5">
        <v>2013.0</v>
      </c>
      <c r="B2014" s="5" t="s">
        <v>2501</v>
      </c>
      <c r="C2014" s="5" t="s">
        <v>2502</v>
      </c>
      <c r="D2014" s="6">
        <f>IFERROR(__xludf.DUMMYFUNCTION("SPLIT(MID(C2014,2,LEN(C2014)-2), "","")"),1099.0)</f>
        <v>1099</v>
      </c>
      <c r="E2014" s="7"/>
      <c r="F2014" s="7"/>
      <c r="G2014" s="2" t="str">
        <f t="array" ref="G2014">IF(ISBLANK(D2014), "", INDEX(Categories!$B:$B,MATCH(D2014,Categories!$A:$A,0)))</f>
        <v>Bars, Taverns &amp; Cocktail Lounges</v>
      </c>
      <c r="H2014" s="7" t="str">
        <f t="array" ref="H2014">IF(ISBLANK(E2014), "", INDEX(Categories!$B:$B,MATCH(E2014,Categories!$A:$A,0)))</f>
        <v/>
      </c>
      <c r="I2014" s="7" t="str">
        <f t="array" ref="I2014">IF(ISBLANK(F2014), "", INDEX(Categories!$B:$B,MATCH(F2014,Categories!$A:$A,0)))</f>
        <v/>
      </c>
      <c r="J2014" s="4"/>
      <c r="K2014" s="4"/>
      <c r="L2014" s="4"/>
      <c r="M2014" s="4"/>
      <c r="N2014" s="4"/>
      <c r="O2014" s="4"/>
      <c r="P2014" s="4"/>
      <c r="Q2014" s="4"/>
    </row>
    <row r="2015">
      <c r="A2015" s="5">
        <v>2014.0</v>
      </c>
      <c r="B2015" s="5" t="s">
        <v>2503</v>
      </c>
      <c r="C2015" s="5" t="s">
        <v>87</v>
      </c>
      <c r="D2015" s="6">
        <f>IFERROR(__xludf.DUMMYFUNCTION("SPLIT(MID(C2015,2,LEN(C2015)-2), "","")"),168.0)</f>
        <v>168</v>
      </c>
      <c r="E2015" s="7"/>
      <c r="F2015" s="7"/>
      <c r="G2015" s="2" t="str">
        <f t="array" ref="G2015">IF(ISBLANK(D2015), "", INDEX(Categories!$B:$B,MATCH(D2015,Categories!$A:$A,0)))</f>
        <v>Hotels &amp; Motels</v>
      </c>
      <c r="H2015" s="7" t="str">
        <f t="array" ref="H2015">IF(ISBLANK(E2015), "", INDEX(Categories!$B:$B,MATCH(E2015,Categories!$A:$A,0)))</f>
        <v/>
      </c>
      <c r="I2015" s="7" t="str">
        <f t="array" ref="I2015">IF(ISBLANK(F2015), "", INDEX(Categories!$B:$B,MATCH(F2015,Categories!$A:$A,0)))</f>
        <v/>
      </c>
      <c r="J2015" s="4"/>
      <c r="K2015" s="4"/>
      <c r="L2015" s="4"/>
      <c r="M2015" s="4"/>
      <c r="N2015" s="4"/>
      <c r="O2015" s="4"/>
      <c r="P2015" s="4"/>
      <c r="Q2015" s="4"/>
    </row>
    <row r="2016">
      <c r="A2016" s="5">
        <v>2015.0</v>
      </c>
      <c r="B2016" s="5" t="s">
        <v>2504</v>
      </c>
      <c r="C2016" s="5" t="s">
        <v>87</v>
      </c>
      <c r="D2016" s="6">
        <f>IFERROR(__xludf.DUMMYFUNCTION("SPLIT(MID(C2016,2,LEN(C2016)-2), "","")"),168.0)</f>
        <v>168</v>
      </c>
      <c r="E2016" s="7"/>
      <c r="F2016" s="7"/>
      <c r="G2016" s="2" t="str">
        <f t="array" ref="G2016">IF(ISBLANK(D2016), "", INDEX(Categories!$B:$B,MATCH(D2016,Categories!$A:$A,0)))</f>
        <v>Hotels &amp; Motels</v>
      </c>
      <c r="H2016" s="7" t="str">
        <f t="array" ref="H2016">IF(ISBLANK(E2016), "", INDEX(Categories!$B:$B,MATCH(E2016,Categories!$A:$A,0)))</f>
        <v/>
      </c>
      <c r="I2016" s="7" t="str">
        <f t="array" ref="I2016">IF(ISBLANK(F2016), "", INDEX(Categories!$B:$B,MATCH(F2016,Categories!$A:$A,0)))</f>
        <v/>
      </c>
      <c r="J2016" s="4"/>
      <c r="K2016" s="4"/>
      <c r="L2016" s="4"/>
      <c r="M2016" s="4"/>
      <c r="N2016" s="4"/>
      <c r="O2016" s="4"/>
      <c r="P2016" s="4"/>
      <c r="Q2016" s="4"/>
    </row>
    <row r="2017">
      <c r="A2017" s="5">
        <v>2016.0</v>
      </c>
      <c r="B2017" s="5" t="s">
        <v>2505</v>
      </c>
      <c r="C2017" s="5" t="s">
        <v>87</v>
      </c>
      <c r="D2017" s="6">
        <f>IFERROR(__xludf.DUMMYFUNCTION("SPLIT(MID(C2017,2,LEN(C2017)-2), "","")"),168.0)</f>
        <v>168</v>
      </c>
      <c r="E2017" s="7"/>
      <c r="F2017" s="7"/>
      <c r="G2017" s="2" t="str">
        <f t="array" ref="G2017">IF(ISBLANK(D2017), "", INDEX(Categories!$B:$B,MATCH(D2017,Categories!$A:$A,0)))</f>
        <v>Hotels &amp; Motels</v>
      </c>
      <c r="H2017" s="7" t="str">
        <f t="array" ref="H2017">IF(ISBLANK(E2017), "", INDEX(Categories!$B:$B,MATCH(E2017,Categories!$A:$A,0)))</f>
        <v/>
      </c>
      <c r="I2017" s="7" t="str">
        <f t="array" ref="I2017">IF(ISBLANK(F2017), "", INDEX(Categories!$B:$B,MATCH(F2017,Categories!$A:$A,0)))</f>
        <v/>
      </c>
      <c r="J2017" s="4"/>
      <c r="K2017" s="4"/>
      <c r="L2017" s="4"/>
      <c r="M2017" s="4"/>
      <c r="N2017" s="4"/>
      <c r="O2017" s="4"/>
      <c r="P2017" s="4"/>
      <c r="Q2017" s="4"/>
    </row>
    <row r="2018">
      <c r="A2018" s="5">
        <v>2017.0</v>
      </c>
      <c r="B2018" s="5" t="s">
        <v>2506</v>
      </c>
      <c r="C2018" s="5" t="s">
        <v>87</v>
      </c>
      <c r="D2018" s="6">
        <f>IFERROR(__xludf.DUMMYFUNCTION("SPLIT(MID(C2018,2,LEN(C2018)-2), "","")"),168.0)</f>
        <v>168</v>
      </c>
      <c r="E2018" s="7"/>
      <c r="F2018" s="7"/>
      <c r="G2018" s="2" t="str">
        <f t="array" ref="G2018">IF(ISBLANK(D2018), "", INDEX(Categories!$B:$B,MATCH(D2018,Categories!$A:$A,0)))</f>
        <v>Hotels &amp; Motels</v>
      </c>
      <c r="H2018" s="7" t="str">
        <f t="array" ref="H2018">IF(ISBLANK(E2018), "", INDEX(Categories!$B:$B,MATCH(E2018,Categories!$A:$A,0)))</f>
        <v/>
      </c>
      <c r="I2018" s="7" t="str">
        <f t="array" ref="I2018">IF(ISBLANK(F2018), "", INDEX(Categories!$B:$B,MATCH(F2018,Categories!$A:$A,0)))</f>
        <v/>
      </c>
      <c r="J2018" s="4"/>
      <c r="K2018" s="4"/>
      <c r="L2018" s="4"/>
      <c r="M2018" s="4"/>
      <c r="N2018" s="4"/>
      <c r="O2018" s="4"/>
      <c r="P2018" s="4"/>
      <c r="Q2018" s="4"/>
    </row>
    <row r="2019">
      <c r="A2019" s="5">
        <v>2018.0</v>
      </c>
      <c r="B2019" s="5" t="s">
        <v>2507</v>
      </c>
      <c r="C2019" s="5" t="s">
        <v>87</v>
      </c>
      <c r="D2019" s="6">
        <f>IFERROR(__xludf.DUMMYFUNCTION("SPLIT(MID(C2019,2,LEN(C2019)-2), "","")"),168.0)</f>
        <v>168</v>
      </c>
      <c r="E2019" s="7"/>
      <c r="F2019" s="7"/>
      <c r="G2019" s="2" t="str">
        <f t="array" ref="G2019">IF(ISBLANK(D2019), "", INDEX(Categories!$B:$B,MATCH(D2019,Categories!$A:$A,0)))</f>
        <v>Hotels &amp; Motels</v>
      </c>
      <c r="H2019" s="7" t="str">
        <f t="array" ref="H2019">IF(ISBLANK(E2019), "", INDEX(Categories!$B:$B,MATCH(E2019,Categories!$A:$A,0)))</f>
        <v/>
      </c>
      <c r="I2019" s="7" t="str">
        <f t="array" ref="I2019">IF(ISBLANK(F2019), "", INDEX(Categories!$B:$B,MATCH(F2019,Categories!$A:$A,0)))</f>
        <v/>
      </c>
      <c r="J2019" s="4"/>
      <c r="K2019" s="4"/>
      <c r="L2019" s="4"/>
      <c r="M2019" s="4"/>
      <c r="N2019" s="4"/>
      <c r="O2019" s="4"/>
      <c r="P2019" s="4"/>
      <c r="Q2019" s="4"/>
    </row>
    <row r="2020">
      <c r="A2020" s="5">
        <v>2019.0</v>
      </c>
      <c r="B2020" s="5" t="s">
        <v>2508</v>
      </c>
      <c r="C2020" s="5" t="s">
        <v>87</v>
      </c>
      <c r="D2020" s="6">
        <f>IFERROR(__xludf.DUMMYFUNCTION("SPLIT(MID(C2020,2,LEN(C2020)-2), "","")"),168.0)</f>
        <v>168</v>
      </c>
      <c r="E2020" s="7"/>
      <c r="F2020" s="7"/>
      <c r="G2020" s="2" t="str">
        <f t="array" ref="G2020">IF(ISBLANK(D2020), "", INDEX(Categories!$B:$B,MATCH(D2020,Categories!$A:$A,0)))</f>
        <v>Hotels &amp; Motels</v>
      </c>
      <c r="H2020" s="7" t="str">
        <f t="array" ref="H2020">IF(ISBLANK(E2020), "", INDEX(Categories!$B:$B,MATCH(E2020,Categories!$A:$A,0)))</f>
        <v/>
      </c>
      <c r="I2020" s="7" t="str">
        <f t="array" ref="I2020">IF(ISBLANK(F2020), "", INDEX(Categories!$B:$B,MATCH(F2020,Categories!$A:$A,0)))</f>
        <v/>
      </c>
      <c r="J2020" s="4"/>
      <c r="K2020" s="4"/>
      <c r="L2020" s="4"/>
      <c r="M2020" s="4"/>
      <c r="N2020" s="4"/>
      <c r="O2020" s="4"/>
      <c r="P2020" s="4"/>
      <c r="Q2020" s="4"/>
    </row>
    <row r="2021">
      <c r="A2021" s="5">
        <v>2020.0</v>
      </c>
      <c r="B2021" s="5" t="s">
        <v>2509</v>
      </c>
      <c r="C2021" s="5" t="s">
        <v>1900</v>
      </c>
      <c r="D2021" s="6">
        <f>IFERROR(__xludf.DUMMYFUNCTION("SPLIT(MID(C2021,2,LEN(C2021)-2), "","")"),464.0)</f>
        <v>464</v>
      </c>
      <c r="E2021" s="7"/>
      <c r="F2021" s="7"/>
      <c r="G2021" s="2" t="str">
        <f t="array" ref="G2021">IF(ISBLANK(D2021), "", INDEX(Categories!$B:$B,MATCH(D2021,Categories!$A:$A,0)))</f>
        <v>Real Estate</v>
      </c>
      <c r="H2021" s="7" t="str">
        <f t="array" ref="H2021">IF(ISBLANK(E2021), "", INDEX(Categories!$B:$B,MATCH(E2021,Categories!$A:$A,0)))</f>
        <v/>
      </c>
      <c r="I2021" s="7" t="str">
        <f t="array" ref="I2021">IF(ISBLANK(F2021), "", INDEX(Categories!$B:$B,MATCH(F2021,Categories!$A:$A,0)))</f>
        <v/>
      </c>
      <c r="J2021" s="4"/>
      <c r="K2021" s="4"/>
      <c r="L2021" s="4"/>
      <c r="M2021" s="4"/>
      <c r="N2021" s="4"/>
      <c r="O2021" s="4"/>
      <c r="P2021" s="4"/>
      <c r="Q2021" s="4"/>
    </row>
    <row r="2022">
      <c r="A2022" s="5">
        <v>2021.0</v>
      </c>
      <c r="B2022" s="5" t="s">
        <v>2510</v>
      </c>
      <c r="C2022" s="5" t="s">
        <v>87</v>
      </c>
      <c r="D2022" s="6">
        <f>IFERROR(__xludf.DUMMYFUNCTION("SPLIT(MID(C2022,2,LEN(C2022)-2), "","")"),168.0)</f>
        <v>168</v>
      </c>
      <c r="E2022" s="7"/>
      <c r="F2022" s="7"/>
      <c r="G2022" s="2" t="str">
        <f t="array" ref="G2022">IF(ISBLANK(D2022), "", INDEX(Categories!$B:$B,MATCH(D2022,Categories!$A:$A,0)))</f>
        <v>Hotels &amp; Motels</v>
      </c>
      <c r="H2022" s="7" t="str">
        <f t="array" ref="H2022">IF(ISBLANK(E2022), "", INDEX(Categories!$B:$B,MATCH(E2022,Categories!$A:$A,0)))</f>
        <v/>
      </c>
      <c r="I2022" s="7" t="str">
        <f t="array" ref="I2022">IF(ISBLANK(F2022), "", INDEX(Categories!$B:$B,MATCH(F2022,Categories!$A:$A,0)))</f>
        <v/>
      </c>
      <c r="J2022" s="4"/>
      <c r="K2022" s="4"/>
      <c r="L2022" s="4"/>
      <c r="M2022" s="4"/>
      <c r="N2022" s="4"/>
      <c r="O2022" s="4"/>
      <c r="P2022" s="4"/>
      <c r="Q2022" s="4"/>
    </row>
    <row r="2023">
      <c r="A2023" s="5">
        <v>2022.0</v>
      </c>
      <c r="B2023" s="5" t="s">
        <v>2511</v>
      </c>
      <c r="C2023" s="5" t="s">
        <v>1006</v>
      </c>
      <c r="D2023" s="6">
        <f>IFERROR(__xludf.DUMMYFUNCTION("SPLIT(MID(C2023,2,LEN(C2023)-2), "","")"),1808.0)</f>
        <v>1808</v>
      </c>
      <c r="E2023" s="7"/>
      <c r="F2023" s="7"/>
      <c r="G2023" s="2" t="str">
        <f t="array" ref="G2023">IF(ISBLANK(D2023), "", INDEX(Categories!$B:$B,MATCH(D2023,Categories!$A:$A,0)))</f>
        <v>Coffee Houses</v>
      </c>
      <c r="H2023" s="7" t="str">
        <f t="array" ref="H2023">IF(ISBLANK(E2023), "", INDEX(Categories!$B:$B,MATCH(E2023,Categories!$A:$A,0)))</f>
        <v/>
      </c>
      <c r="I2023" s="7" t="str">
        <f t="array" ref="I2023">IF(ISBLANK(F2023), "", INDEX(Categories!$B:$B,MATCH(F2023,Categories!$A:$A,0)))</f>
        <v/>
      </c>
      <c r="J2023" s="4"/>
      <c r="K2023" s="4"/>
      <c r="L2023" s="4"/>
      <c r="M2023" s="4"/>
      <c r="N2023" s="4"/>
      <c r="O2023" s="4"/>
      <c r="P2023" s="4"/>
      <c r="Q2023" s="4"/>
    </row>
    <row r="2024">
      <c r="A2024" s="5">
        <v>2023.0</v>
      </c>
      <c r="B2024" s="5" t="s">
        <v>2512</v>
      </c>
      <c r="C2024" s="5" t="s">
        <v>2513</v>
      </c>
      <c r="D2024" s="6">
        <f>IFERROR(__xludf.DUMMYFUNCTION("SPLIT(MID(C2024,2,LEN(C2024)-2), "","")"),497.0)</f>
        <v>497</v>
      </c>
      <c r="E2024" s="7"/>
      <c r="F2024" s="7"/>
      <c r="G2024" s="2" t="str">
        <f t="array" ref="G2024">IF(ISBLANK(D2024), "", INDEX(Categories!$B:$B,MATCH(D2024,Categories!$A:$A,0)))</f>
        <v>Radiators Automotive Rebuilding &amp; Repairing</v>
      </c>
      <c r="H2024" s="7" t="str">
        <f t="array" ref="H2024">IF(ISBLANK(E2024), "", INDEX(Categories!$B:$B,MATCH(E2024,Categories!$A:$A,0)))</f>
        <v/>
      </c>
      <c r="I2024" s="7" t="str">
        <f t="array" ref="I2024">IF(ISBLANK(F2024), "", INDEX(Categories!$B:$B,MATCH(F2024,Categories!$A:$A,0)))</f>
        <v/>
      </c>
      <c r="J2024" s="4"/>
      <c r="K2024" s="4"/>
      <c r="L2024" s="4"/>
      <c r="M2024" s="4"/>
      <c r="N2024" s="4"/>
      <c r="O2024" s="4"/>
      <c r="P2024" s="4"/>
      <c r="Q2024" s="4"/>
    </row>
    <row r="2025">
      <c r="A2025" s="5">
        <v>2024.0</v>
      </c>
      <c r="B2025" s="5" t="s">
        <v>2514</v>
      </c>
      <c r="C2025" s="5" t="s">
        <v>115</v>
      </c>
      <c r="D2025" s="6">
        <f>IFERROR(__xludf.DUMMYFUNCTION("SPLIT(MID(C2025,2,LEN(C2025)-2), "","")"),1272.0)</f>
        <v>1272</v>
      </c>
      <c r="E2025" s="7"/>
      <c r="F2025" s="7"/>
      <c r="G2025" s="2" t="str">
        <f t="array" ref="G2025">IF(ISBLANK(D2025), "", INDEX(Categories!$B:$B,MATCH(D2025,Categories!$A:$A,0)))</f>
        <v>Womens Apparel</v>
      </c>
      <c r="H2025" s="7" t="str">
        <f t="array" ref="H2025">IF(ISBLANK(E2025), "", INDEX(Categories!$B:$B,MATCH(E2025,Categories!$A:$A,0)))</f>
        <v/>
      </c>
      <c r="I2025" s="7" t="str">
        <f t="array" ref="I2025">IF(ISBLANK(F2025), "", INDEX(Categories!$B:$B,MATCH(F2025,Categories!$A:$A,0)))</f>
        <v/>
      </c>
      <c r="J2025" s="4"/>
      <c r="K2025" s="4"/>
      <c r="L2025" s="4"/>
      <c r="M2025" s="4"/>
      <c r="N2025" s="4"/>
      <c r="O2025" s="4"/>
      <c r="P2025" s="4"/>
      <c r="Q2025" s="4"/>
    </row>
    <row r="2026">
      <c r="A2026" s="5">
        <v>2025.0</v>
      </c>
      <c r="B2026" s="5" t="s">
        <v>2515</v>
      </c>
      <c r="C2026" s="5" t="s">
        <v>2516</v>
      </c>
      <c r="D2026" s="6">
        <f>IFERROR(__xludf.DUMMYFUNCTION("SPLIT(MID(C2026,2,LEN(C2026)-2), "","")"),1116.0)</f>
        <v>1116</v>
      </c>
      <c r="E2026" s="7"/>
      <c r="F2026" s="7"/>
      <c r="G2026" s="2" t="str">
        <f t="array" ref="G2026">IF(ISBLANK(D2026), "", INDEX(Categories!$B:$B,MATCH(D2026,Categories!$A:$A,0)))</f>
        <v>Liquor Stores</v>
      </c>
      <c r="H2026" s="7" t="str">
        <f t="array" ref="H2026">IF(ISBLANK(E2026), "", INDEX(Categories!$B:$B,MATCH(E2026,Categories!$A:$A,0)))</f>
        <v/>
      </c>
      <c r="I2026" s="7" t="str">
        <f t="array" ref="I2026">IF(ISBLANK(F2026), "", INDEX(Categories!$B:$B,MATCH(F2026,Categories!$A:$A,0)))</f>
        <v/>
      </c>
      <c r="J2026" s="4"/>
      <c r="K2026" s="4"/>
      <c r="L2026" s="4"/>
      <c r="M2026" s="4"/>
      <c r="N2026" s="4"/>
      <c r="O2026" s="4"/>
      <c r="P2026" s="4"/>
      <c r="Q2026" s="4"/>
    </row>
    <row r="2027">
      <c r="A2027" s="5">
        <v>2026.0</v>
      </c>
      <c r="B2027" s="5" t="s">
        <v>2517</v>
      </c>
      <c r="C2027" s="5" t="s">
        <v>115</v>
      </c>
      <c r="D2027" s="6">
        <f>IFERROR(__xludf.DUMMYFUNCTION("SPLIT(MID(C2027,2,LEN(C2027)-2), "","")"),1272.0)</f>
        <v>1272</v>
      </c>
      <c r="E2027" s="7"/>
      <c r="F2027" s="7"/>
      <c r="G2027" s="2" t="str">
        <f t="array" ref="G2027">IF(ISBLANK(D2027), "", INDEX(Categories!$B:$B,MATCH(D2027,Categories!$A:$A,0)))</f>
        <v>Womens Apparel</v>
      </c>
      <c r="H2027" s="7" t="str">
        <f t="array" ref="H2027">IF(ISBLANK(E2027), "", INDEX(Categories!$B:$B,MATCH(E2027,Categories!$A:$A,0)))</f>
        <v/>
      </c>
      <c r="I2027" s="7" t="str">
        <f t="array" ref="I2027">IF(ISBLANK(F2027), "", INDEX(Categories!$B:$B,MATCH(F2027,Categories!$A:$A,0)))</f>
        <v/>
      </c>
      <c r="J2027" s="4"/>
      <c r="K2027" s="4"/>
      <c r="L2027" s="4"/>
      <c r="M2027" s="4"/>
      <c r="N2027" s="4"/>
      <c r="O2027" s="4"/>
      <c r="P2027" s="4"/>
      <c r="Q2027" s="4"/>
    </row>
    <row r="2028">
      <c r="A2028" s="5">
        <v>2027.0</v>
      </c>
      <c r="B2028" s="5" t="s">
        <v>2518</v>
      </c>
      <c r="C2028" s="5" t="s">
        <v>297</v>
      </c>
      <c r="D2028" s="6">
        <f>IFERROR(__xludf.DUMMYFUNCTION("SPLIT(MID(C2028,2,LEN(C2028)-2), "","")"),839.0)</f>
        <v>839</v>
      </c>
      <c r="E2028" s="7"/>
      <c r="F2028" s="7"/>
      <c r="G2028" s="2" t="str">
        <f t="array" ref="G2028">IF(ISBLANK(D2028), "", INDEX(Categories!$B:$B,MATCH(D2028,Categories!$A:$A,0)))</f>
        <v>Youth Organizations</v>
      </c>
      <c r="H2028" s="7" t="str">
        <f t="array" ref="H2028">IF(ISBLANK(E2028), "", INDEX(Categories!$B:$B,MATCH(E2028,Categories!$A:$A,0)))</f>
        <v/>
      </c>
      <c r="I2028" s="7" t="str">
        <f t="array" ref="I2028">IF(ISBLANK(F2028), "", INDEX(Categories!$B:$B,MATCH(F2028,Categories!$A:$A,0)))</f>
        <v/>
      </c>
      <c r="J2028" s="4"/>
      <c r="K2028" s="4"/>
      <c r="L2028" s="4"/>
      <c r="M2028" s="4"/>
      <c r="N2028" s="4"/>
      <c r="O2028" s="4"/>
      <c r="P2028" s="4"/>
      <c r="Q2028" s="4"/>
    </row>
    <row r="2029">
      <c r="A2029" s="5">
        <v>2028.0</v>
      </c>
      <c r="B2029" s="5" t="s">
        <v>2519</v>
      </c>
      <c r="C2029" s="5" t="s">
        <v>157</v>
      </c>
      <c r="D2029" s="6">
        <f>IFERROR(__xludf.DUMMYFUNCTION("SPLIT(MID(C2029,2,LEN(C2029)-2), "","")"),195.0)</f>
        <v>195</v>
      </c>
      <c r="E2029" s="7"/>
      <c r="F2029" s="7"/>
      <c r="G2029" s="2" t="str">
        <f t="array" ref="G2029">IF(ISBLANK(D2029), "", INDEX(Categories!$B:$B,MATCH(D2029,Categories!$A:$A,0)))</f>
        <v>Child Care Centers &amp; Services</v>
      </c>
      <c r="H2029" s="7" t="str">
        <f t="array" ref="H2029">IF(ISBLANK(E2029), "", INDEX(Categories!$B:$B,MATCH(E2029,Categories!$A:$A,0)))</f>
        <v/>
      </c>
      <c r="I2029" s="7" t="str">
        <f t="array" ref="I2029">IF(ISBLANK(F2029), "", INDEX(Categories!$B:$B,MATCH(F2029,Categories!$A:$A,0)))</f>
        <v/>
      </c>
      <c r="J2029" s="4"/>
      <c r="K2029" s="4"/>
      <c r="L2029" s="4"/>
      <c r="M2029" s="4"/>
      <c r="N2029" s="4"/>
      <c r="O2029" s="4"/>
      <c r="P2029" s="4"/>
      <c r="Q2029" s="4"/>
    </row>
    <row r="2030">
      <c r="A2030" s="5">
        <v>2029.0</v>
      </c>
      <c r="B2030" s="5" t="s">
        <v>2520</v>
      </c>
      <c r="C2030" s="5" t="s">
        <v>626</v>
      </c>
      <c r="D2030" s="6">
        <f>IFERROR(__xludf.DUMMYFUNCTION("SPLIT(MID(C2030,2,LEN(C2030)-2), "","")"),1247.0)</f>
        <v>1247</v>
      </c>
      <c r="E2030" s="7"/>
      <c r="F2030" s="7"/>
      <c r="G2030" s="2" t="str">
        <f t="array" ref="G2030">IF(ISBLANK(D2030), "", INDEX(Categories!$B:$B,MATCH(D2030,Categories!$A:$A,0)))</f>
        <v>Clothing Children &amp; Infant</v>
      </c>
      <c r="H2030" s="7" t="str">
        <f t="array" ref="H2030">IF(ISBLANK(E2030), "", INDEX(Categories!$B:$B,MATCH(E2030,Categories!$A:$A,0)))</f>
        <v/>
      </c>
      <c r="I2030" s="7" t="str">
        <f t="array" ref="I2030">IF(ISBLANK(F2030), "", INDEX(Categories!$B:$B,MATCH(F2030,Categories!$A:$A,0)))</f>
        <v/>
      </c>
      <c r="J2030" s="4"/>
      <c r="K2030" s="4"/>
      <c r="L2030" s="4"/>
      <c r="M2030" s="4"/>
      <c r="N2030" s="4"/>
      <c r="O2030" s="4"/>
      <c r="P2030" s="4"/>
      <c r="Q2030" s="4"/>
    </row>
    <row r="2031">
      <c r="A2031" s="5">
        <v>2030.0</v>
      </c>
      <c r="B2031" s="5" t="s">
        <v>2521</v>
      </c>
      <c r="C2031" s="5" t="s">
        <v>460</v>
      </c>
      <c r="D2031" s="6">
        <f>IFERROR(__xludf.DUMMYFUNCTION("SPLIT(MID(C2031,2,LEN(C2031)-2), "","")"),605.0)</f>
        <v>605</v>
      </c>
      <c r="E2031" s="7"/>
      <c r="F2031" s="7"/>
      <c r="G2031" s="2" t="str">
        <f t="array" ref="G2031">IF(ISBLANK(D2031), "", INDEX(Categories!$B:$B,MATCH(D2031,Categories!$A:$A,0)))</f>
        <v>Pretzels Retail</v>
      </c>
      <c r="H2031" s="7" t="str">
        <f t="array" ref="H2031">IF(ISBLANK(E2031), "", INDEX(Categories!$B:$B,MATCH(E2031,Categories!$A:$A,0)))</f>
        <v/>
      </c>
      <c r="I2031" s="7" t="str">
        <f t="array" ref="I2031">IF(ISBLANK(F2031), "", INDEX(Categories!$B:$B,MATCH(F2031,Categories!$A:$A,0)))</f>
        <v/>
      </c>
      <c r="J2031" s="4"/>
      <c r="K2031" s="4"/>
      <c r="L2031" s="4"/>
      <c r="M2031" s="4"/>
      <c r="N2031" s="4"/>
      <c r="O2031" s="4"/>
      <c r="P2031" s="4"/>
      <c r="Q2031" s="4"/>
    </row>
    <row r="2032">
      <c r="A2032" s="5">
        <v>2031.0</v>
      </c>
      <c r="B2032" s="5" t="s">
        <v>2522</v>
      </c>
      <c r="C2032" s="5" t="s">
        <v>249</v>
      </c>
      <c r="D2032" s="6">
        <f>IFERROR(__xludf.DUMMYFUNCTION("SPLIT(MID(C2032,2,LEN(C2032)-2), "","")"),593.0)</f>
        <v>593</v>
      </c>
      <c r="E2032" s="7"/>
      <c r="F2032" s="7"/>
      <c r="G2032" s="2" t="str">
        <f t="array" ref="G2032">IF(ISBLANK(D2032), "", INDEX(Categories!$B:$B,MATCH(D2032,Categories!$A:$A,0)))</f>
        <v>Ice Cream &amp; Frozen Desserts Dealers</v>
      </c>
      <c r="H2032" s="7" t="str">
        <f t="array" ref="H2032">IF(ISBLANK(E2032), "", INDEX(Categories!$B:$B,MATCH(E2032,Categories!$A:$A,0)))</f>
        <v/>
      </c>
      <c r="I2032" s="7" t="str">
        <f t="array" ref="I2032">IF(ISBLANK(F2032), "", INDEX(Categories!$B:$B,MATCH(F2032,Categories!$A:$A,0)))</f>
        <v/>
      </c>
      <c r="J2032" s="4"/>
      <c r="K2032" s="4"/>
      <c r="L2032" s="4"/>
      <c r="M2032" s="4"/>
      <c r="N2032" s="4"/>
      <c r="O2032" s="4"/>
      <c r="P2032" s="4"/>
      <c r="Q2032" s="4"/>
    </row>
    <row r="2033">
      <c r="A2033" s="5">
        <v>2032.0</v>
      </c>
      <c r="B2033" s="5" t="s">
        <v>2523</v>
      </c>
      <c r="C2033" s="5" t="s">
        <v>34</v>
      </c>
      <c r="D2033" s="6">
        <f>IFERROR(__xludf.DUMMYFUNCTION("SPLIT(MID(C2033,2,LEN(C2033)-2), "","")"),228.0)</f>
        <v>228</v>
      </c>
      <c r="E2033" s="7"/>
      <c r="F2033" s="7"/>
      <c r="G2033" s="2" t="str">
        <f t="array" ref="G2033">IF(ISBLANK(D2033), "", INDEX(Categories!$B:$B,MATCH(D2033,Categories!$A:$A,0)))</f>
        <v>Restaurants</v>
      </c>
      <c r="H2033" s="7" t="str">
        <f t="array" ref="H2033">IF(ISBLANK(E2033), "", INDEX(Categories!$B:$B,MATCH(E2033,Categories!$A:$A,0)))</f>
        <v/>
      </c>
      <c r="I2033" s="7" t="str">
        <f t="array" ref="I2033">IF(ISBLANK(F2033), "", INDEX(Categories!$B:$B,MATCH(F2033,Categories!$A:$A,0)))</f>
        <v/>
      </c>
      <c r="J2033" s="4"/>
      <c r="K2033" s="4"/>
      <c r="L2033" s="4"/>
      <c r="M2033" s="4"/>
      <c r="N2033" s="4"/>
      <c r="O2033" s="4"/>
      <c r="P2033" s="4"/>
      <c r="Q2033" s="4"/>
    </row>
    <row r="2034">
      <c r="A2034" s="5">
        <v>2033.0</v>
      </c>
      <c r="B2034" s="5" t="s">
        <v>2524</v>
      </c>
      <c r="C2034" s="5" t="s">
        <v>200</v>
      </c>
      <c r="D2034" s="6">
        <f>IFERROR(__xludf.DUMMYFUNCTION("SPLIT(MID(C2034,2,LEN(C2034)-2), "","")"),316.0)</f>
        <v>316</v>
      </c>
      <c r="E2034" s="7"/>
      <c r="F2034" s="7"/>
      <c r="G2034" s="2" t="str">
        <f t="array" ref="G2034">IF(ISBLANK(D2034), "", INDEX(Categories!$B:$B,MATCH(D2034,Categories!$A:$A,0)))</f>
        <v>Sporting Goods</v>
      </c>
      <c r="H2034" s="7" t="str">
        <f t="array" ref="H2034">IF(ISBLANK(E2034), "", INDEX(Categories!$B:$B,MATCH(E2034,Categories!$A:$A,0)))</f>
        <v/>
      </c>
      <c r="I2034" s="7" t="str">
        <f t="array" ref="I2034">IF(ISBLANK(F2034), "", INDEX(Categories!$B:$B,MATCH(F2034,Categories!$A:$A,0)))</f>
        <v/>
      </c>
      <c r="J2034" s="4"/>
      <c r="K2034" s="4"/>
      <c r="L2034" s="4"/>
      <c r="M2034" s="4"/>
      <c r="N2034" s="4"/>
      <c r="O2034" s="4"/>
      <c r="P2034" s="4"/>
      <c r="Q2034" s="4"/>
    </row>
    <row r="2035">
      <c r="A2035" s="5">
        <v>2034.0</v>
      </c>
      <c r="B2035" s="5" t="s">
        <v>2525</v>
      </c>
      <c r="C2035" s="5" t="s">
        <v>1346</v>
      </c>
      <c r="D2035" s="6">
        <f>IFERROR(__xludf.DUMMYFUNCTION("SPLIT(MID(C2035,2,LEN(C2035)-2), "","")"),2006.0)</f>
        <v>2006</v>
      </c>
      <c r="E2035" s="7"/>
      <c r="F2035" s="7"/>
      <c r="G2035" s="2" t="str">
        <f t="array" ref="G2035">IF(ISBLANK(D2035), "", INDEX(Categories!$B:$B,MATCH(D2035,Categories!$A:$A,0)))</f>
        <v>Hobby &amp; Model Supplies</v>
      </c>
      <c r="H2035" s="7" t="str">
        <f t="array" ref="H2035">IF(ISBLANK(E2035), "", INDEX(Categories!$B:$B,MATCH(E2035,Categories!$A:$A,0)))</f>
        <v/>
      </c>
      <c r="I2035" s="7" t="str">
        <f t="array" ref="I2035">IF(ISBLANK(F2035), "", INDEX(Categories!$B:$B,MATCH(F2035,Categories!$A:$A,0)))</f>
        <v/>
      </c>
      <c r="J2035" s="4"/>
      <c r="K2035" s="4"/>
      <c r="L2035" s="4"/>
      <c r="M2035" s="4"/>
      <c r="N2035" s="4"/>
      <c r="O2035" s="4"/>
      <c r="P2035" s="4"/>
      <c r="Q2035" s="4"/>
    </row>
    <row r="2036">
      <c r="A2036" s="5">
        <v>2035.0</v>
      </c>
      <c r="B2036" s="5" t="s">
        <v>2526</v>
      </c>
      <c r="C2036" s="5" t="s">
        <v>1081</v>
      </c>
      <c r="D2036" s="6">
        <f>IFERROR(__xludf.DUMMYFUNCTION("SPLIT(MID(C2036,2,LEN(C2036)-2), "","")"),18.0)</f>
        <v>18</v>
      </c>
      <c r="E2036" s="7"/>
      <c r="F2036" s="7"/>
      <c r="G2036" s="2" t="str">
        <f t="array" ref="G2036">IF(ISBLANK(D2036), "", INDEX(Categories!$B:$B,MATCH(D2036,Categories!$A:$A,0)))</f>
        <v>Furniture</v>
      </c>
      <c r="H2036" s="7" t="str">
        <f t="array" ref="H2036">IF(ISBLANK(E2036), "", INDEX(Categories!$B:$B,MATCH(E2036,Categories!$A:$A,0)))</f>
        <v/>
      </c>
      <c r="I2036" s="7" t="str">
        <f t="array" ref="I2036">IF(ISBLANK(F2036), "", INDEX(Categories!$B:$B,MATCH(F2036,Categories!$A:$A,0)))</f>
        <v/>
      </c>
      <c r="J2036" s="4"/>
      <c r="K2036" s="4"/>
      <c r="L2036" s="4"/>
      <c r="M2036" s="4"/>
      <c r="N2036" s="4"/>
      <c r="O2036" s="4"/>
      <c r="P2036" s="4"/>
      <c r="Q2036" s="4"/>
    </row>
    <row r="2037">
      <c r="A2037" s="5">
        <v>2036.0</v>
      </c>
      <c r="B2037" s="5" t="s">
        <v>2527</v>
      </c>
      <c r="C2037" s="5" t="s">
        <v>60</v>
      </c>
      <c r="D2037" s="6">
        <f>IFERROR(__xludf.DUMMYFUNCTION("SPLIT(MID(C2037,2,LEN(C2037)-2), "","")"),240.0)</f>
        <v>240</v>
      </c>
      <c r="E2037" s="7"/>
      <c r="F2037" s="7"/>
      <c r="G2037" s="2" t="str">
        <f t="array" ref="G2037">IF(ISBLANK(D2037), "", INDEX(Categories!$B:$B,MATCH(D2037,Categories!$A:$A,0)))</f>
        <v>Restaurants Fast Food</v>
      </c>
      <c r="H2037" s="7" t="str">
        <f t="array" ref="H2037">IF(ISBLANK(E2037), "", INDEX(Categories!$B:$B,MATCH(E2037,Categories!$A:$A,0)))</f>
        <v/>
      </c>
      <c r="I2037" s="7" t="str">
        <f t="array" ref="I2037">IF(ISBLANK(F2037), "", INDEX(Categories!$B:$B,MATCH(F2037,Categories!$A:$A,0)))</f>
        <v/>
      </c>
      <c r="J2037" s="4"/>
      <c r="K2037" s="4"/>
      <c r="L2037" s="4"/>
      <c r="M2037" s="4"/>
      <c r="N2037" s="4"/>
      <c r="O2037" s="4"/>
      <c r="P2037" s="4"/>
      <c r="Q2037" s="4"/>
    </row>
    <row r="2038">
      <c r="A2038" s="5">
        <v>2037.0</v>
      </c>
      <c r="B2038" s="5" t="s">
        <v>2528</v>
      </c>
      <c r="C2038" s="5" t="s">
        <v>107</v>
      </c>
      <c r="D2038" s="6">
        <f>IFERROR(__xludf.DUMMYFUNCTION("SPLIT(MID(C2038,2,LEN(C2038)-2), "","")"),760.0)</f>
        <v>760</v>
      </c>
      <c r="E2038" s="7"/>
      <c r="F2038" s="7"/>
      <c r="G2038" s="2" t="str">
        <f t="array" ref="G2038">IF(ISBLANK(D2038), "", INDEX(Categories!$B:$B,MATCH(D2038,Categories!$A:$A,0)))</f>
        <v>Discount Stores</v>
      </c>
      <c r="H2038" s="7" t="str">
        <f t="array" ref="H2038">IF(ISBLANK(E2038), "", INDEX(Categories!$B:$B,MATCH(E2038,Categories!$A:$A,0)))</f>
        <v/>
      </c>
      <c r="I2038" s="7" t="str">
        <f t="array" ref="I2038">IF(ISBLANK(F2038), "", INDEX(Categories!$B:$B,MATCH(F2038,Categories!$A:$A,0)))</f>
        <v/>
      </c>
      <c r="J2038" s="4"/>
      <c r="K2038" s="4"/>
      <c r="L2038" s="4"/>
      <c r="M2038" s="4"/>
      <c r="N2038" s="4"/>
      <c r="O2038" s="4"/>
      <c r="P2038" s="4"/>
      <c r="Q2038" s="4"/>
    </row>
    <row r="2039">
      <c r="A2039" s="5">
        <v>2038.0</v>
      </c>
      <c r="B2039" s="5" t="s">
        <v>2529</v>
      </c>
      <c r="C2039" s="5" t="s">
        <v>364</v>
      </c>
      <c r="D2039" s="6">
        <f>IFERROR(__xludf.DUMMYFUNCTION("SPLIT(MID(C2039,2,LEN(C2039)-2), "","")"),555.0)</f>
        <v>555</v>
      </c>
      <c r="E2039" s="7"/>
      <c r="F2039" s="7"/>
      <c r="G2039" s="2" t="str">
        <f t="array" ref="G2039">IF(ISBLANK(D2039), "", INDEX(Categories!$B:$B,MATCH(D2039,Categories!$A:$A,0)))</f>
        <v>Dry Cleaners</v>
      </c>
      <c r="H2039" s="7" t="str">
        <f t="array" ref="H2039">IF(ISBLANK(E2039), "", INDEX(Categories!$B:$B,MATCH(E2039,Categories!$A:$A,0)))</f>
        <v/>
      </c>
      <c r="I2039" s="7" t="str">
        <f t="array" ref="I2039">IF(ISBLANK(F2039), "", INDEX(Categories!$B:$B,MATCH(F2039,Categories!$A:$A,0)))</f>
        <v/>
      </c>
      <c r="J2039" s="4"/>
      <c r="K2039" s="4"/>
      <c r="L2039" s="4"/>
      <c r="M2039" s="4"/>
      <c r="N2039" s="4"/>
      <c r="O2039" s="4"/>
      <c r="P2039" s="4"/>
      <c r="Q2039" s="4"/>
    </row>
    <row r="2040">
      <c r="A2040" s="5">
        <v>2039.0</v>
      </c>
      <c r="B2040" s="5" t="s">
        <v>2530</v>
      </c>
      <c r="C2040" s="5" t="s">
        <v>1465</v>
      </c>
      <c r="D2040" s="6">
        <f>IFERROR(__xludf.DUMMYFUNCTION("SPLIT(MID(C2040,2,LEN(C2040)-2), "","")"),2657.0)</f>
        <v>2657</v>
      </c>
      <c r="E2040" s="7"/>
      <c r="F2040" s="7"/>
      <c r="G2040" s="2" t="str">
        <f t="array" ref="G2040">IF(ISBLANK(D2040), "", INDEX(Categories!$B:$B,MATCH(D2040,Categories!$A:$A,0)))</f>
        <v>Picture Framing</v>
      </c>
      <c r="H2040" s="7" t="str">
        <f t="array" ref="H2040">IF(ISBLANK(E2040), "", INDEX(Categories!$B:$B,MATCH(E2040,Categories!$A:$A,0)))</f>
        <v/>
      </c>
      <c r="I2040" s="7" t="str">
        <f t="array" ref="I2040">IF(ISBLANK(F2040), "", INDEX(Categories!$B:$B,MATCH(F2040,Categories!$A:$A,0)))</f>
        <v/>
      </c>
      <c r="J2040" s="4"/>
      <c r="K2040" s="4"/>
      <c r="L2040" s="4"/>
      <c r="M2040" s="4"/>
      <c r="N2040" s="4"/>
      <c r="O2040" s="4"/>
      <c r="P2040" s="4"/>
      <c r="Q2040" s="4"/>
    </row>
    <row r="2041">
      <c r="A2041" s="5">
        <v>2040.0</v>
      </c>
      <c r="B2041" s="5" t="s">
        <v>2531</v>
      </c>
      <c r="C2041" s="5" t="s">
        <v>295</v>
      </c>
      <c r="D2041" s="6">
        <f>IFERROR(__xludf.DUMMYFUNCTION("SPLIT(MID(C2041,2,LEN(C2041)-2), "","")"),2896.0)</f>
        <v>2896</v>
      </c>
      <c r="E2041" s="7"/>
      <c r="F2041" s="7"/>
      <c r="G2041" s="2" t="str">
        <f t="array" ref="G2041">IF(ISBLANK(D2041), "", INDEX(Categories!$B:$B,MATCH(D2041,Categories!$A:$A,0)))</f>
        <v>Variety Stores</v>
      </c>
      <c r="H2041" s="7" t="str">
        <f t="array" ref="H2041">IF(ISBLANK(E2041), "", INDEX(Categories!$B:$B,MATCH(E2041,Categories!$A:$A,0)))</f>
        <v/>
      </c>
      <c r="I2041" s="7" t="str">
        <f t="array" ref="I2041">IF(ISBLANK(F2041), "", INDEX(Categories!$B:$B,MATCH(F2041,Categories!$A:$A,0)))</f>
        <v/>
      </c>
      <c r="J2041" s="4"/>
      <c r="K2041" s="4"/>
      <c r="L2041" s="4"/>
      <c r="M2041" s="4"/>
      <c r="N2041" s="4"/>
      <c r="O2041" s="4"/>
      <c r="P2041" s="4"/>
      <c r="Q2041" s="4"/>
    </row>
    <row r="2042">
      <c r="A2042" s="5">
        <v>2041.0</v>
      </c>
      <c r="B2042" s="5" t="s">
        <v>2532</v>
      </c>
      <c r="C2042" s="5" t="s">
        <v>2533</v>
      </c>
      <c r="D2042" s="6">
        <f>IFERROR(__xludf.DUMMYFUNCTION("SPLIT(MID(C2042,2,LEN(C2042)-2), "","")"),2007.0)</f>
        <v>2007</v>
      </c>
      <c r="E2042" s="7"/>
      <c r="F2042" s="7"/>
      <c r="G2042" s="2" t="str">
        <f t="array" ref="G2042">IF(ISBLANK(D2042), "", INDEX(Categories!$B:$B,MATCH(D2042,Categories!$A:$A,0)))</f>
        <v>Crafts &amp; Craft Supplies Wholesale &amp; Manufacturers</v>
      </c>
      <c r="H2042" s="7" t="str">
        <f t="array" ref="H2042">IF(ISBLANK(E2042), "", INDEX(Categories!$B:$B,MATCH(E2042,Categories!$A:$A,0)))</f>
        <v/>
      </c>
      <c r="I2042" s="7" t="str">
        <f t="array" ref="I2042">IF(ISBLANK(F2042), "", INDEX(Categories!$B:$B,MATCH(F2042,Categories!$A:$A,0)))</f>
        <v/>
      </c>
      <c r="J2042" s="4"/>
      <c r="K2042" s="4"/>
      <c r="L2042" s="4"/>
      <c r="M2042" s="4"/>
      <c r="N2042" s="4"/>
      <c r="O2042" s="4"/>
      <c r="P2042" s="4"/>
      <c r="Q2042" s="4"/>
    </row>
    <row r="2043">
      <c r="A2043" s="5">
        <v>2042.0</v>
      </c>
      <c r="B2043" s="5" t="s">
        <v>2534</v>
      </c>
      <c r="C2043" s="5" t="s">
        <v>1954</v>
      </c>
      <c r="D2043" s="6">
        <f>IFERROR(__xludf.DUMMYFUNCTION("SPLIT(MID(C2043,2,LEN(C2043)-2), "","")"),1265.0)</f>
        <v>1265</v>
      </c>
      <c r="E2043" s="7"/>
      <c r="F2043" s="7"/>
      <c r="G2043" s="2" t="str">
        <f t="array" ref="G2043">IF(ISBLANK(D2043), "", INDEX(Categories!$B:$B,MATCH(D2043,Categories!$A:$A,0)))</f>
        <v>Sportswear Retail</v>
      </c>
      <c r="H2043" s="7" t="str">
        <f t="array" ref="H2043">IF(ISBLANK(E2043), "", INDEX(Categories!$B:$B,MATCH(E2043,Categories!$A:$A,0)))</f>
        <v/>
      </c>
      <c r="I2043" s="7" t="str">
        <f t="array" ref="I2043">IF(ISBLANK(F2043), "", INDEX(Categories!$B:$B,MATCH(F2043,Categories!$A:$A,0)))</f>
        <v/>
      </c>
      <c r="J2043" s="4"/>
      <c r="K2043" s="4"/>
      <c r="L2043" s="4"/>
      <c r="M2043" s="4"/>
      <c r="N2043" s="4"/>
      <c r="O2043" s="4"/>
      <c r="P2043" s="4"/>
      <c r="Q2043" s="4"/>
    </row>
    <row r="2044">
      <c r="A2044" s="5">
        <v>2043.0</v>
      </c>
      <c r="B2044" s="5" t="s">
        <v>2535</v>
      </c>
      <c r="C2044" s="5" t="s">
        <v>41</v>
      </c>
      <c r="D2044" s="6">
        <f>IFERROR(__xludf.DUMMYFUNCTION("SPLIT(MID(C2044,2,LEN(C2044)-2), "","")"),93.0)</f>
        <v>93</v>
      </c>
      <c r="E2044" s="7"/>
      <c r="F2044" s="7"/>
      <c r="G2044" s="2" t="str">
        <f t="array" ref="G2044">IF(ISBLANK(D2044), "", INDEX(Categories!$B:$B,MATCH(D2044,Categories!$A:$A,0)))</f>
        <v>Automobile - Rentals</v>
      </c>
      <c r="H2044" s="7" t="str">
        <f t="array" ref="H2044">IF(ISBLANK(E2044), "", INDEX(Categories!$B:$B,MATCH(E2044,Categories!$A:$A,0)))</f>
        <v/>
      </c>
      <c r="I2044" s="7" t="str">
        <f t="array" ref="I2044">IF(ISBLANK(F2044), "", INDEX(Categories!$B:$B,MATCH(F2044,Categories!$A:$A,0)))</f>
        <v/>
      </c>
      <c r="J2044" s="4"/>
      <c r="K2044" s="4"/>
      <c r="L2044" s="4"/>
      <c r="M2044" s="4"/>
      <c r="N2044" s="4"/>
      <c r="O2044" s="4"/>
      <c r="P2044" s="4"/>
      <c r="Q2044" s="4"/>
    </row>
    <row r="2045">
      <c r="A2045" s="5">
        <v>2044.0</v>
      </c>
      <c r="B2045" s="5" t="s">
        <v>2536</v>
      </c>
      <c r="C2045" s="5" t="s">
        <v>364</v>
      </c>
      <c r="D2045" s="6">
        <f>IFERROR(__xludf.DUMMYFUNCTION("SPLIT(MID(C2045,2,LEN(C2045)-2), "","")"),555.0)</f>
        <v>555</v>
      </c>
      <c r="E2045" s="7"/>
      <c r="F2045" s="7"/>
      <c r="G2045" s="2" t="str">
        <f t="array" ref="G2045">IF(ISBLANK(D2045), "", INDEX(Categories!$B:$B,MATCH(D2045,Categories!$A:$A,0)))</f>
        <v>Dry Cleaners</v>
      </c>
      <c r="H2045" s="7" t="str">
        <f t="array" ref="H2045">IF(ISBLANK(E2045), "", INDEX(Categories!$B:$B,MATCH(E2045,Categories!$A:$A,0)))</f>
        <v/>
      </c>
      <c r="I2045" s="7" t="str">
        <f t="array" ref="I2045">IF(ISBLANK(F2045), "", INDEX(Categories!$B:$B,MATCH(F2045,Categories!$A:$A,0)))</f>
        <v/>
      </c>
      <c r="J2045" s="4"/>
      <c r="K2045" s="4"/>
      <c r="L2045" s="4"/>
      <c r="M2045" s="4"/>
      <c r="N2045" s="4"/>
      <c r="O2045" s="4"/>
      <c r="P2045" s="4"/>
      <c r="Q2045" s="4"/>
    </row>
    <row r="2046">
      <c r="A2046" s="5">
        <v>2045.0</v>
      </c>
      <c r="B2046" s="5" t="s">
        <v>2537</v>
      </c>
      <c r="C2046" s="5" t="s">
        <v>107</v>
      </c>
      <c r="D2046" s="6">
        <f>IFERROR(__xludf.DUMMYFUNCTION("SPLIT(MID(C2046,2,LEN(C2046)-2), "","")"),760.0)</f>
        <v>760</v>
      </c>
      <c r="E2046" s="7"/>
      <c r="F2046" s="7"/>
      <c r="G2046" s="2" t="str">
        <f t="array" ref="G2046">IF(ISBLANK(D2046), "", INDEX(Categories!$B:$B,MATCH(D2046,Categories!$A:$A,0)))</f>
        <v>Discount Stores</v>
      </c>
      <c r="H2046" s="7" t="str">
        <f t="array" ref="H2046">IF(ISBLANK(E2046), "", INDEX(Categories!$B:$B,MATCH(E2046,Categories!$A:$A,0)))</f>
        <v/>
      </c>
      <c r="I2046" s="7" t="str">
        <f t="array" ref="I2046">IF(ISBLANK(F2046), "", INDEX(Categories!$B:$B,MATCH(F2046,Categories!$A:$A,0)))</f>
        <v/>
      </c>
      <c r="J2046" s="4"/>
      <c r="K2046" s="4"/>
      <c r="L2046" s="4"/>
      <c r="M2046" s="4"/>
      <c r="N2046" s="4"/>
      <c r="O2046" s="4"/>
      <c r="P2046" s="4"/>
      <c r="Q2046" s="4"/>
    </row>
    <row r="2047">
      <c r="A2047" s="5">
        <v>2046.0</v>
      </c>
      <c r="B2047" s="5" t="s">
        <v>2538</v>
      </c>
      <c r="C2047" s="5" t="s">
        <v>96</v>
      </c>
      <c r="D2047" s="6">
        <f>IFERROR(__xludf.DUMMYFUNCTION("SPLIT(MID(C2047,2,LEN(C2047)-2), "","")"),572.0)</f>
        <v>572</v>
      </c>
      <c r="E2047" s="7"/>
      <c r="F2047" s="7"/>
      <c r="G2047" s="2" t="str">
        <f t="array" ref="G2047">IF(ISBLANK(D2047), "", INDEX(Categories!$B:$B,MATCH(D2047,Categories!$A:$A,0)))</f>
        <v>Groceries</v>
      </c>
      <c r="H2047" s="7" t="str">
        <f t="array" ref="H2047">IF(ISBLANK(E2047), "", INDEX(Categories!$B:$B,MATCH(E2047,Categories!$A:$A,0)))</f>
        <v/>
      </c>
      <c r="I2047" s="7" t="str">
        <f t="array" ref="I2047">IF(ISBLANK(F2047), "", INDEX(Categories!$B:$B,MATCH(F2047,Categories!$A:$A,0)))</f>
        <v/>
      </c>
      <c r="J2047" s="4"/>
      <c r="K2047" s="4"/>
      <c r="L2047" s="4"/>
      <c r="M2047" s="4"/>
      <c r="N2047" s="4"/>
      <c r="O2047" s="4"/>
      <c r="P2047" s="4"/>
      <c r="Q2047" s="4"/>
    </row>
    <row r="2048">
      <c r="A2048" s="5">
        <v>2047.0</v>
      </c>
      <c r="B2048" s="5" t="s">
        <v>2539</v>
      </c>
      <c r="C2048" s="5" t="s">
        <v>58</v>
      </c>
      <c r="D2048" s="6">
        <f>IFERROR(__xludf.DUMMYFUNCTION("SPLIT(MID(C2048,2,LEN(C2048)-2), "","")"),1170.0)</f>
        <v>1170</v>
      </c>
      <c r="E2048" s="7"/>
      <c r="F2048" s="7"/>
      <c r="G2048" s="2" t="str">
        <f t="array" ref="G2048">IF(ISBLANK(D2048), "", INDEX(Categories!$B:$B,MATCH(D2048,Categories!$A:$A,0)))</f>
        <v>Gasoline Retail</v>
      </c>
      <c r="H2048" s="7" t="str">
        <f t="array" ref="H2048">IF(ISBLANK(E2048), "", INDEX(Categories!$B:$B,MATCH(E2048,Categories!$A:$A,0)))</f>
        <v/>
      </c>
      <c r="I2048" s="7" t="str">
        <f t="array" ref="I2048">IF(ISBLANK(F2048), "", INDEX(Categories!$B:$B,MATCH(F2048,Categories!$A:$A,0)))</f>
        <v/>
      </c>
      <c r="J2048" s="4"/>
      <c r="K2048" s="4"/>
      <c r="L2048" s="4"/>
      <c r="M2048" s="4"/>
      <c r="N2048" s="4"/>
      <c r="O2048" s="4"/>
      <c r="P2048" s="4"/>
      <c r="Q2048" s="4"/>
    </row>
    <row r="2049">
      <c r="A2049" s="5">
        <v>2048.0</v>
      </c>
      <c r="B2049" s="5" t="s">
        <v>2540</v>
      </c>
      <c r="C2049" s="5" t="s">
        <v>221</v>
      </c>
      <c r="D2049" s="6">
        <f>IFERROR(__xludf.DUMMYFUNCTION("SPLIT(MID(C2049,2,LEN(C2049)-2), "","")"),483.0)</f>
        <v>483</v>
      </c>
      <c r="E2049" s="7"/>
      <c r="F2049" s="7"/>
      <c r="G2049" s="2" t="str">
        <f t="array" ref="G2049">IF(ISBLANK(D2049), "", INDEX(Categories!$B:$B,MATCH(D2049,Categories!$A:$A,0)))</f>
        <v>Automobile Window Service &amp; Repair</v>
      </c>
      <c r="H2049" s="7" t="str">
        <f t="array" ref="H2049">IF(ISBLANK(E2049), "", INDEX(Categories!$B:$B,MATCH(E2049,Categories!$A:$A,0)))</f>
        <v/>
      </c>
      <c r="I2049" s="7" t="str">
        <f t="array" ref="I2049">IF(ISBLANK(F2049), "", INDEX(Categories!$B:$B,MATCH(F2049,Categories!$A:$A,0)))</f>
        <v/>
      </c>
      <c r="J2049" s="4"/>
      <c r="K2049" s="4"/>
      <c r="L2049" s="4"/>
      <c r="M2049" s="4"/>
      <c r="N2049" s="4"/>
      <c r="O2049" s="4"/>
      <c r="P2049" s="4"/>
      <c r="Q2049" s="4"/>
    </row>
    <row r="2050">
      <c r="A2050" s="5">
        <v>2049.0</v>
      </c>
      <c r="B2050" s="5" t="s">
        <v>2541</v>
      </c>
      <c r="C2050" s="5" t="s">
        <v>115</v>
      </c>
      <c r="D2050" s="6">
        <f>IFERROR(__xludf.DUMMYFUNCTION("SPLIT(MID(C2050,2,LEN(C2050)-2), "","")"),1272.0)</f>
        <v>1272</v>
      </c>
      <c r="E2050" s="7"/>
      <c r="F2050" s="7"/>
      <c r="G2050" s="2" t="str">
        <f t="array" ref="G2050">IF(ISBLANK(D2050), "", INDEX(Categories!$B:$B,MATCH(D2050,Categories!$A:$A,0)))</f>
        <v>Womens Apparel</v>
      </c>
      <c r="H2050" s="7" t="str">
        <f t="array" ref="H2050">IF(ISBLANK(E2050), "", INDEX(Categories!$B:$B,MATCH(E2050,Categories!$A:$A,0)))</f>
        <v/>
      </c>
      <c r="I2050" s="7" t="str">
        <f t="array" ref="I2050">IF(ISBLANK(F2050), "", INDEX(Categories!$B:$B,MATCH(F2050,Categories!$A:$A,0)))</f>
        <v/>
      </c>
      <c r="J2050" s="4"/>
      <c r="K2050" s="4"/>
      <c r="L2050" s="4"/>
      <c r="M2050" s="4"/>
      <c r="N2050" s="4"/>
      <c r="O2050" s="4"/>
      <c r="P2050" s="4"/>
      <c r="Q2050" s="4"/>
    </row>
    <row r="2051">
      <c r="A2051" s="5">
        <v>2050.0</v>
      </c>
      <c r="B2051" s="5" t="s">
        <v>2542</v>
      </c>
      <c r="C2051" s="5" t="s">
        <v>43</v>
      </c>
      <c r="D2051" s="6">
        <f>IFERROR(__xludf.DUMMYFUNCTION("SPLIT(MID(C2051,2,LEN(C2051)-2), "","")"),292.0)</f>
        <v>292</v>
      </c>
      <c r="E2051" s="7"/>
      <c r="F2051" s="7"/>
      <c r="G2051" s="2" t="str">
        <f t="array" ref="G2051">IF(ISBLANK(D2051), "", INDEX(Categories!$B:$B,MATCH(D2051,Categories!$A:$A,0)))</f>
        <v>Banks</v>
      </c>
      <c r="H2051" s="7" t="str">
        <f t="array" ref="H2051">IF(ISBLANK(E2051), "", INDEX(Categories!$B:$B,MATCH(E2051,Categories!$A:$A,0)))</f>
        <v/>
      </c>
      <c r="I2051" s="7" t="str">
        <f t="array" ref="I2051">IF(ISBLANK(F2051), "", INDEX(Categories!$B:$B,MATCH(F2051,Categories!$A:$A,0)))</f>
        <v/>
      </c>
      <c r="J2051" s="4"/>
      <c r="K2051" s="4"/>
      <c r="L2051" s="4"/>
      <c r="M2051" s="4"/>
      <c r="N2051" s="4"/>
      <c r="O2051" s="4"/>
      <c r="P2051" s="4"/>
      <c r="Q2051" s="4"/>
    </row>
    <row r="2052">
      <c r="A2052" s="5">
        <v>2051.0</v>
      </c>
      <c r="B2052" s="5" t="s">
        <v>2543</v>
      </c>
      <c r="C2052" s="5" t="s">
        <v>1954</v>
      </c>
      <c r="D2052" s="6">
        <f>IFERROR(__xludf.DUMMYFUNCTION("SPLIT(MID(C2052,2,LEN(C2052)-2), "","")"),1265.0)</f>
        <v>1265</v>
      </c>
      <c r="E2052" s="7"/>
      <c r="F2052" s="7"/>
      <c r="G2052" s="2" t="str">
        <f t="array" ref="G2052">IF(ISBLANK(D2052), "", INDEX(Categories!$B:$B,MATCH(D2052,Categories!$A:$A,0)))</f>
        <v>Sportswear Retail</v>
      </c>
      <c r="H2052" s="7" t="str">
        <f t="array" ref="H2052">IF(ISBLANK(E2052), "", INDEX(Categories!$B:$B,MATCH(E2052,Categories!$A:$A,0)))</f>
        <v/>
      </c>
      <c r="I2052" s="7" t="str">
        <f t="array" ref="I2052">IF(ISBLANK(F2052), "", INDEX(Categories!$B:$B,MATCH(F2052,Categories!$A:$A,0)))</f>
        <v/>
      </c>
      <c r="J2052" s="4"/>
      <c r="K2052" s="4"/>
      <c r="L2052" s="4"/>
      <c r="M2052" s="4"/>
      <c r="N2052" s="4"/>
      <c r="O2052" s="4"/>
      <c r="P2052" s="4"/>
      <c r="Q2052" s="4"/>
    </row>
    <row r="2053">
      <c r="A2053" s="5">
        <v>2052.0</v>
      </c>
      <c r="B2053" s="5" t="s">
        <v>2544</v>
      </c>
      <c r="C2053" s="5" t="s">
        <v>303</v>
      </c>
      <c r="D2053" s="6">
        <f>IFERROR(__xludf.DUMMYFUNCTION("SPLIT(MID(C2053,2,LEN(C2053)-2), "","")"),1241.0)</f>
        <v>1241</v>
      </c>
      <c r="E2053" s="7"/>
      <c r="F2053" s="7"/>
      <c r="G2053" s="2" t="str">
        <f t="array" ref="G2053">IF(ISBLANK(D2053), "", INDEX(Categories!$B:$B,MATCH(D2053,Categories!$A:$A,0)))</f>
        <v>Clothing &amp; Accessories</v>
      </c>
      <c r="H2053" s="7" t="str">
        <f t="array" ref="H2053">IF(ISBLANK(E2053), "", INDEX(Categories!$B:$B,MATCH(E2053,Categories!$A:$A,0)))</f>
        <v/>
      </c>
      <c r="I2053" s="7" t="str">
        <f t="array" ref="I2053">IF(ISBLANK(F2053), "", INDEX(Categories!$B:$B,MATCH(F2053,Categories!$A:$A,0)))</f>
        <v/>
      </c>
      <c r="J2053" s="4"/>
      <c r="K2053" s="4"/>
      <c r="L2053" s="4"/>
      <c r="M2053" s="4"/>
      <c r="N2053" s="4"/>
      <c r="O2053" s="4"/>
      <c r="P2053" s="4"/>
      <c r="Q2053" s="4"/>
    </row>
    <row r="2054">
      <c r="A2054" s="5">
        <v>2053.0</v>
      </c>
      <c r="B2054" s="5" t="s">
        <v>2545</v>
      </c>
      <c r="C2054" s="5" t="s">
        <v>346</v>
      </c>
      <c r="D2054" s="6">
        <f>IFERROR(__xludf.DUMMYFUNCTION("SPLIT(MID(C2054,2,LEN(C2054)-2), "","")"),610.0)</f>
        <v>610</v>
      </c>
      <c r="E2054" s="7"/>
      <c r="F2054" s="7"/>
      <c r="G2054" s="2" t="str">
        <f t="array" ref="G2054">IF(ISBLANK(D2054), "", INDEX(Categories!$B:$B,MATCH(D2054,Categories!$A:$A,0)))</f>
        <v>Supermarkets &amp; Super Stores</v>
      </c>
      <c r="H2054" s="7" t="str">
        <f t="array" ref="H2054">IF(ISBLANK(E2054), "", INDEX(Categories!$B:$B,MATCH(E2054,Categories!$A:$A,0)))</f>
        <v/>
      </c>
      <c r="I2054" s="7" t="str">
        <f t="array" ref="I2054">IF(ISBLANK(F2054), "", INDEX(Categories!$B:$B,MATCH(F2054,Categories!$A:$A,0)))</f>
        <v/>
      </c>
      <c r="J2054" s="4"/>
      <c r="K2054" s="4"/>
      <c r="L2054" s="4"/>
      <c r="M2054" s="4"/>
      <c r="N2054" s="4"/>
      <c r="O2054" s="4"/>
      <c r="P2054" s="4"/>
      <c r="Q2054" s="4"/>
    </row>
    <row r="2055">
      <c r="A2055" s="5">
        <v>2054.0</v>
      </c>
      <c r="B2055" s="5" t="s">
        <v>2546</v>
      </c>
      <c r="C2055" s="5" t="s">
        <v>253</v>
      </c>
      <c r="D2055" s="6">
        <f>IFERROR(__xludf.DUMMYFUNCTION("SPLIT(MID(C2055,2,LEN(C2055)-2), "","")"),686.0)</f>
        <v>686</v>
      </c>
      <c r="E2055" s="7"/>
      <c r="F2055" s="7"/>
      <c r="G2055" s="2" t="str">
        <f t="array" ref="G2055">IF(ISBLANK(D2055), "", INDEX(Categories!$B:$B,MATCH(D2055,Categories!$A:$A,0)))</f>
        <v>Gift Shops</v>
      </c>
      <c r="H2055" s="7" t="str">
        <f t="array" ref="H2055">IF(ISBLANK(E2055), "", INDEX(Categories!$B:$B,MATCH(E2055,Categories!$A:$A,0)))</f>
        <v/>
      </c>
      <c r="I2055" s="7" t="str">
        <f t="array" ref="I2055">IF(ISBLANK(F2055), "", INDEX(Categories!$B:$B,MATCH(F2055,Categories!$A:$A,0)))</f>
        <v/>
      </c>
      <c r="J2055" s="4"/>
      <c r="K2055" s="4"/>
      <c r="L2055" s="4"/>
      <c r="M2055" s="4"/>
      <c r="N2055" s="4"/>
      <c r="O2055" s="4"/>
      <c r="P2055" s="4"/>
      <c r="Q2055" s="4"/>
    </row>
    <row r="2056">
      <c r="A2056" s="5">
        <v>2055.0</v>
      </c>
      <c r="B2056" s="5" t="s">
        <v>2547</v>
      </c>
      <c r="C2056" s="5" t="s">
        <v>18</v>
      </c>
      <c r="D2056" s="6">
        <f>IFERROR(__xludf.DUMMYFUNCTION("SPLIT(MID(C2056,2,LEN(C2056)-2), "","")"),121.0)</f>
        <v>121</v>
      </c>
      <c r="E2056" s="7"/>
      <c r="F2056" s="7"/>
      <c r="G2056" s="2" t="str">
        <f t="array" ref="G2056">IF(ISBLANK(D2056), "", INDEX(Categories!$B:$B,MATCH(D2056,Categories!$A:$A,0)))</f>
        <v>Insurance</v>
      </c>
      <c r="H2056" s="7" t="str">
        <f t="array" ref="H2056">IF(ISBLANK(E2056), "", INDEX(Categories!$B:$B,MATCH(E2056,Categories!$A:$A,0)))</f>
        <v/>
      </c>
      <c r="I2056" s="7" t="str">
        <f t="array" ref="I2056">IF(ISBLANK(F2056), "", INDEX(Categories!$B:$B,MATCH(F2056,Categories!$A:$A,0)))</f>
        <v/>
      </c>
      <c r="J2056" s="4"/>
      <c r="K2056" s="4"/>
      <c r="L2056" s="4"/>
      <c r="M2056" s="4"/>
      <c r="N2056" s="4"/>
      <c r="O2056" s="4"/>
      <c r="P2056" s="4"/>
      <c r="Q2056" s="4"/>
    </row>
    <row r="2057">
      <c r="A2057" s="5">
        <v>2056.0</v>
      </c>
      <c r="B2057" s="5" t="s">
        <v>2548</v>
      </c>
      <c r="C2057" s="5" t="s">
        <v>1166</v>
      </c>
      <c r="D2057" s="6">
        <f>IFERROR(__xludf.DUMMYFUNCTION("SPLIT(MID(C2057,2,LEN(C2057)-2), "","")"),1.0)</f>
        <v>1</v>
      </c>
      <c r="E2057" s="7"/>
      <c r="F2057" s="7"/>
      <c r="G2057" s="2" t="str">
        <f t="array" ref="G2057">IF(ISBLANK(D2057), "", INDEX(Categories!$B:$B,MATCH(D2057,Categories!$A:$A,0)))</f>
        <v>Automobile - Dealers</v>
      </c>
      <c r="H2057" s="7" t="str">
        <f t="array" ref="H2057">IF(ISBLANK(E2057), "", INDEX(Categories!$B:$B,MATCH(E2057,Categories!$A:$A,0)))</f>
        <v/>
      </c>
      <c r="I2057" s="7" t="str">
        <f t="array" ref="I2057">IF(ISBLANK(F2057), "", INDEX(Categories!$B:$B,MATCH(F2057,Categories!$A:$A,0)))</f>
        <v/>
      </c>
      <c r="J2057" s="4"/>
      <c r="K2057" s="4"/>
      <c r="L2057" s="4"/>
      <c r="M2057" s="4"/>
      <c r="N2057" s="4"/>
      <c r="O2057" s="4"/>
      <c r="P2057" s="4"/>
      <c r="Q2057" s="4"/>
    </row>
    <row r="2058">
      <c r="A2058" s="5">
        <v>2057.0</v>
      </c>
      <c r="B2058" s="5" t="s">
        <v>2549</v>
      </c>
      <c r="C2058" s="5" t="s">
        <v>1166</v>
      </c>
      <c r="D2058" s="6">
        <f>IFERROR(__xludf.DUMMYFUNCTION("SPLIT(MID(C2058,2,LEN(C2058)-2), "","")"),1.0)</f>
        <v>1</v>
      </c>
      <c r="E2058" s="7"/>
      <c r="F2058" s="7"/>
      <c r="G2058" s="2" t="str">
        <f t="array" ref="G2058">IF(ISBLANK(D2058), "", INDEX(Categories!$B:$B,MATCH(D2058,Categories!$A:$A,0)))</f>
        <v>Automobile - Dealers</v>
      </c>
      <c r="H2058" s="7" t="str">
        <f t="array" ref="H2058">IF(ISBLANK(E2058), "", INDEX(Categories!$B:$B,MATCH(E2058,Categories!$A:$A,0)))</f>
        <v/>
      </c>
      <c r="I2058" s="7" t="str">
        <f t="array" ref="I2058">IF(ISBLANK(F2058), "", INDEX(Categories!$B:$B,MATCH(F2058,Categories!$A:$A,0)))</f>
        <v/>
      </c>
      <c r="J2058" s="4"/>
      <c r="K2058" s="4"/>
      <c r="L2058" s="4"/>
      <c r="M2058" s="4"/>
      <c r="N2058" s="4"/>
      <c r="O2058" s="4"/>
      <c r="P2058" s="4"/>
      <c r="Q2058" s="4"/>
    </row>
    <row r="2059">
      <c r="A2059" s="5">
        <v>2058.0</v>
      </c>
      <c r="B2059" s="5" t="s">
        <v>2550</v>
      </c>
      <c r="C2059" s="5" t="s">
        <v>69</v>
      </c>
      <c r="D2059" s="6">
        <f>IFERROR(__xludf.DUMMYFUNCTION("SPLIT(MID(C2059,2,LEN(C2059)-2), "","")"),293.0)</f>
        <v>293</v>
      </c>
      <c r="E2059" s="7"/>
      <c r="F2059" s="7"/>
      <c r="G2059" s="2" t="str">
        <f t="array" ref="G2059">IF(ISBLANK(D2059), "", INDEX(Categories!$B:$B,MATCH(D2059,Categories!$A:$A,0)))</f>
        <v>Banks Commercial</v>
      </c>
      <c r="H2059" s="7" t="str">
        <f t="array" ref="H2059">IF(ISBLANK(E2059), "", INDEX(Categories!$B:$B,MATCH(E2059,Categories!$A:$A,0)))</f>
        <v/>
      </c>
      <c r="I2059" s="7" t="str">
        <f t="array" ref="I2059">IF(ISBLANK(F2059), "", INDEX(Categories!$B:$B,MATCH(F2059,Categories!$A:$A,0)))</f>
        <v/>
      </c>
      <c r="J2059" s="4"/>
      <c r="K2059" s="4"/>
      <c r="L2059" s="4"/>
      <c r="M2059" s="4"/>
      <c r="N2059" s="4"/>
      <c r="O2059" s="4"/>
      <c r="P2059" s="4"/>
      <c r="Q2059" s="4"/>
    </row>
    <row r="2060">
      <c r="A2060" s="5">
        <v>2059.0</v>
      </c>
      <c r="B2060" s="5" t="s">
        <v>2551</v>
      </c>
      <c r="C2060" s="5" t="s">
        <v>18</v>
      </c>
      <c r="D2060" s="6">
        <f>IFERROR(__xludf.DUMMYFUNCTION("SPLIT(MID(C2060,2,LEN(C2060)-2), "","")"),121.0)</f>
        <v>121</v>
      </c>
      <c r="E2060" s="7"/>
      <c r="F2060" s="7"/>
      <c r="G2060" s="2" t="str">
        <f t="array" ref="G2060">IF(ISBLANK(D2060), "", INDEX(Categories!$B:$B,MATCH(D2060,Categories!$A:$A,0)))</f>
        <v>Insurance</v>
      </c>
      <c r="H2060" s="7" t="str">
        <f t="array" ref="H2060">IF(ISBLANK(E2060), "", INDEX(Categories!$B:$B,MATCH(E2060,Categories!$A:$A,0)))</f>
        <v/>
      </c>
      <c r="I2060" s="7" t="str">
        <f t="array" ref="I2060">IF(ISBLANK(F2060), "", INDEX(Categories!$B:$B,MATCH(F2060,Categories!$A:$A,0)))</f>
        <v/>
      </c>
      <c r="J2060" s="4"/>
      <c r="K2060" s="4"/>
      <c r="L2060" s="4"/>
      <c r="M2060" s="4"/>
      <c r="N2060" s="4"/>
      <c r="O2060" s="4"/>
      <c r="P2060" s="4"/>
      <c r="Q2060" s="4"/>
    </row>
    <row r="2061">
      <c r="A2061" s="5">
        <v>2060.0</v>
      </c>
      <c r="B2061" s="5" t="s">
        <v>2552</v>
      </c>
      <c r="C2061" s="5" t="s">
        <v>96</v>
      </c>
      <c r="D2061" s="6">
        <f>IFERROR(__xludf.DUMMYFUNCTION("SPLIT(MID(C2061,2,LEN(C2061)-2), "","")"),572.0)</f>
        <v>572</v>
      </c>
      <c r="E2061" s="7"/>
      <c r="F2061" s="7"/>
      <c r="G2061" s="2" t="str">
        <f t="array" ref="G2061">IF(ISBLANK(D2061), "", INDEX(Categories!$B:$B,MATCH(D2061,Categories!$A:$A,0)))</f>
        <v>Groceries</v>
      </c>
      <c r="H2061" s="7" t="str">
        <f t="array" ref="H2061">IF(ISBLANK(E2061), "", INDEX(Categories!$B:$B,MATCH(E2061,Categories!$A:$A,0)))</f>
        <v/>
      </c>
      <c r="I2061" s="7" t="str">
        <f t="array" ref="I2061">IF(ISBLANK(F2061), "", INDEX(Categories!$B:$B,MATCH(F2061,Categories!$A:$A,0)))</f>
        <v/>
      </c>
      <c r="J2061" s="4"/>
      <c r="K2061" s="4"/>
      <c r="L2061" s="4"/>
      <c r="M2061" s="4"/>
      <c r="N2061" s="4"/>
      <c r="O2061" s="4"/>
      <c r="P2061" s="4"/>
      <c r="Q2061" s="4"/>
    </row>
    <row r="2062">
      <c r="A2062" s="5">
        <v>2061.0</v>
      </c>
      <c r="B2062" s="5" t="s">
        <v>2553</v>
      </c>
      <c r="C2062" s="5" t="s">
        <v>87</v>
      </c>
      <c r="D2062" s="6">
        <f>IFERROR(__xludf.DUMMYFUNCTION("SPLIT(MID(C2062,2,LEN(C2062)-2), "","")"),168.0)</f>
        <v>168</v>
      </c>
      <c r="E2062" s="7"/>
      <c r="F2062" s="7"/>
      <c r="G2062" s="2" t="str">
        <f t="array" ref="G2062">IF(ISBLANK(D2062), "", INDEX(Categories!$B:$B,MATCH(D2062,Categories!$A:$A,0)))</f>
        <v>Hotels &amp; Motels</v>
      </c>
      <c r="H2062" s="7" t="str">
        <f t="array" ref="H2062">IF(ISBLANK(E2062), "", INDEX(Categories!$B:$B,MATCH(E2062,Categories!$A:$A,0)))</f>
        <v/>
      </c>
      <c r="I2062" s="7" t="str">
        <f t="array" ref="I2062">IF(ISBLANK(F2062), "", INDEX(Categories!$B:$B,MATCH(F2062,Categories!$A:$A,0)))</f>
        <v/>
      </c>
      <c r="J2062" s="4"/>
      <c r="K2062" s="4"/>
      <c r="L2062" s="4"/>
      <c r="M2062" s="4"/>
      <c r="N2062" s="4"/>
      <c r="O2062" s="4"/>
      <c r="P2062" s="4"/>
      <c r="Q2062" s="4"/>
    </row>
    <row r="2063">
      <c r="A2063" s="5">
        <v>2062.0</v>
      </c>
      <c r="B2063" s="5" t="s">
        <v>2554</v>
      </c>
      <c r="C2063" s="5" t="s">
        <v>96</v>
      </c>
      <c r="D2063" s="6">
        <f>IFERROR(__xludf.DUMMYFUNCTION("SPLIT(MID(C2063,2,LEN(C2063)-2), "","")"),572.0)</f>
        <v>572</v>
      </c>
      <c r="E2063" s="7"/>
      <c r="F2063" s="7"/>
      <c r="G2063" s="2" t="str">
        <f t="array" ref="G2063">IF(ISBLANK(D2063), "", INDEX(Categories!$B:$B,MATCH(D2063,Categories!$A:$A,0)))</f>
        <v>Groceries</v>
      </c>
      <c r="H2063" s="7" t="str">
        <f t="array" ref="H2063">IF(ISBLANK(E2063), "", INDEX(Categories!$B:$B,MATCH(E2063,Categories!$A:$A,0)))</f>
        <v/>
      </c>
      <c r="I2063" s="7" t="str">
        <f t="array" ref="I2063">IF(ISBLANK(F2063), "", INDEX(Categories!$B:$B,MATCH(F2063,Categories!$A:$A,0)))</f>
        <v/>
      </c>
      <c r="J2063" s="4"/>
      <c r="K2063" s="4"/>
      <c r="L2063" s="4"/>
      <c r="M2063" s="4"/>
      <c r="N2063" s="4"/>
      <c r="O2063" s="4"/>
      <c r="P2063" s="4"/>
      <c r="Q2063" s="4"/>
    </row>
    <row r="2064">
      <c r="A2064" s="5">
        <v>2063.0</v>
      </c>
      <c r="B2064" s="5" t="s">
        <v>2555</v>
      </c>
      <c r="C2064" s="5" t="s">
        <v>96</v>
      </c>
      <c r="D2064" s="6">
        <f>IFERROR(__xludf.DUMMYFUNCTION("SPLIT(MID(C2064,2,LEN(C2064)-2), "","")"),572.0)</f>
        <v>572</v>
      </c>
      <c r="E2064" s="7"/>
      <c r="F2064" s="7"/>
      <c r="G2064" s="2" t="str">
        <f t="array" ref="G2064">IF(ISBLANK(D2064), "", INDEX(Categories!$B:$B,MATCH(D2064,Categories!$A:$A,0)))</f>
        <v>Groceries</v>
      </c>
      <c r="H2064" s="7" t="str">
        <f t="array" ref="H2064">IF(ISBLANK(E2064), "", INDEX(Categories!$B:$B,MATCH(E2064,Categories!$A:$A,0)))</f>
        <v/>
      </c>
      <c r="I2064" s="7" t="str">
        <f t="array" ref="I2064">IF(ISBLANK(F2064), "", INDEX(Categories!$B:$B,MATCH(F2064,Categories!$A:$A,0)))</f>
        <v/>
      </c>
      <c r="J2064" s="4"/>
      <c r="K2064" s="4"/>
      <c r="L2064" s="4"/>
      <c r="M2064" s="4"/>
      <c r="N2064" s="4"/>
      <c r="O2064" s="4"/>
      <c r="P2064" s="4"/>
      <c r="Q2064" s="4"/>
    </row>
    <row r="2065">
      <c r="A2065" s="5">
        <v>2064.0</v>
      </c>
      <c r="B2065" s="5" t="s">
        <v>2556</v>
      </c>
      <c r="C2065" s="5" t="s">
        <v>69</v>
      </c>
      <c r="D2065" s="6">
        <f>IFERROR(__xludf.DUMMYFUNCTION("SPLIT(MID(C2065,2,LEN(C2065)-2), "","")"),293.0)</f>
        <v>293</v>
      </c>
      <c r="E2065" s="7"/>
      <c r="F2065" s="7"/>
      <c r="G2065" s="2" t="str">
        <f t="array" ref="G2065">IF(ISBLANK(D2065), "", INDEX(Categories!$B:$B,MATCH(D2065,Categories!$A:$A,0)))</f>
        <v>Banks Commercial</v>
      </c>
      <c r="H2065" s="7" t="str">
        <f t="array" ref="H2065">IF(ISBLANK(E2065), "", INDEX(Categories!$B:$B,MATCH(E2065,Categories!$A:$A,0)))</f>
        <v/>
      </c>
      <c r="I2065" s="7" t="str">
        <f t="array" ref="I2065">IF(ISBLANK(F2065), "", INDEX(Categories!$B:$B,MATCH(F2065,Categories!$A:$A,0)))</f>
        <v/>
      </c>
      <c r="J2065" s="4"/>
      <c r="K2065" s="4"/>
      <c r="L2065" s="4"/>
      <c r="M2065" s="4"/>
      <c r="N2065" s="4"/>
      <c r="O2065" s="4"/>
      <c r="P2065" s="4"/>
      <c r="Q2065" s="4"/>
    </row>
    <row r="2066">
      <c r="A2066" s="5">
        <v>2065.0</v>
      </c>
      <c r="B2066" s="5" t="s">
        <v>2557</v>
      </c>
      <c r="C2066" s="5" t="s">
        <v>58</v>
      </c>
      <c r="D2066" s="6">
        <f>IFERROR(__xludf.DUMMYFUNCTION("SPLIT(MID(C2066,2,LEN(C2066)-2), "","")"),1170.0)</f>
        <v>1170</v>
      </c>
      <c r="E2066" s="7"/>
      <c r="F2066" s="7"/>
      <c r="G2066" s="2" t="str">
        <f t="array" ref="G2066">IF(ISBLANK(D2066), "", INDEX(Categories!$B:$B,MATCH(D2066,Categories!$A:$A,0)))</f>
        <v>Gasoline Retail</v>
      </c>
      <c r="H2066" s="7" t="str">
        <f t="array" ref="H2066">IF(ISBLANK(E2066), "", INDEX(Categories!$B:$B,MATCH(E2066,Categories!$A:$A,0)))</f>
        <v/>
      </c>
      <c r="I2066" s="7" t="str">
        <f t="array" ref="I2066">IF(ISBLANK(F2066), "", INDEX(Categories!$B:$B,MATCH(F2066,Categories!$A:$A,0)))</f>
        <v/>
      </c>
      <c r="J2066" s="4"/>
      <c r="K2066" s="4"/>
      <c r="L2066" s="4"/>
      <c r="M2066" s="4"/>
      <c r="N2066" s="4"/>
      <c r="O2066" s="4"/>
      <c r="P2066" s="4"/>
      <c r="Q2066" s="4"/>
    </row>
    <row r="2067">
      <c r="A2067" s="5">
        <v>2066.0</v>
      </c>
      <c r="B2067" s="5" t="s">
        <v>2558</v>
      </c>
      <c r="C2067" s="5" t="s">
        <v>1006</v>
      </c>
      <c r="D2067" s="6">
        <f>IFERROR(__xludf.DUMMYFUNCTION("SPLIT(MID(C2067,2,LEN(C2067)-2), "","")"),1808.0)</f>
        <v>1808</v>
      </c>
      <c r="E2067" s="7"/>
      <c r="F2067" s="7"/>
      <c r="G2067" s="2" t="str">
        <f t="array" ref="G2067">IF(ISBLANK(D2067), "", INDEX(Categories!$B:$B,MATCH(D2067,Categories!$A:$A,0)))</f>
        <v>Coffee Houses</v>
      </c>
      <c r="H2067" s="7" t="str">
        <f t="array" ref="H2067">IF(ISBLANK(E2067), "", INDEX(Categories!$B:$B,MATCH(E2067,Categories!$A:$A,0)))</f>
        <v/>
      </c>
      <c r="I2067" s="7" t="str">
        <f t="array" ref="I2067">IF(ISBLANK(F2067), "", INDEX(Categories!$B:$B,MATCH(F2067,Categories!$A:$A,0)))</f>
        <v/>
      </c>
      <c r="J2067" s="4"/>
      <c r="K2067" s="4"/>
      <c r="L2067" s="4"/>
      <c r="M2067" s="4"/>
      <c r="N2067" s="4"/>
      <c r="O2067" s="4"/>
      <c r="P2067" s="4"/>
      <c r="Q2067" s="4"/>
    </row>
    <row r="2068">
      <c r="A2068" s="5">
        <v>2067.0</v>
      </c>
      <c r="B2068" s="5" t="s">
        <v>2559</v>
      </c>
      <c r="C2068" s="5" t="s">
        <v>2560</v>
      </c>
      <c r="D2068" s="6">
        <f>IFERROR(__xludf.DUMMYFUNCTION("SPLIT(MID(C2068,2,LEN(C2068)-2), "","")"),1735.0)</f>
        <v>1735</v>
      </c>
      <c r="E2068" s="7"/>
      <c r="F2068" s="7"/>
      <c r="G2068" s="2" t="str">
        <f t="array" ref="G2068">IF(ISBLANK(D2068), "", INDEX(Categories!$B:$B,MATCH(D2068,Categories!$A:$A,0)))</f>
        <v>Bridal Shops</v>
      </c>
      <c r="H2068" s="7" t="str">
        <f t="array" ref="H2068">IF(ISBLANK(E2068), "", INDEX(Categories!$B:$B,MATCH(E2068,Categories!$A:$A,0)))</f>
        <v/>
      </c>
      <c r="I2068" s="7" t="str">
        <f t="array" ref="I2068">IF(ISBLANK(F2068), "", INDEX(Categories!$B:$B,MATCH(F2068,Categories!$A:$A,0)))</f>
        <v/>
      </c>
      <c r="J2068" s="4"/>
      <c r="K2068" s="4"/>
      <c r="L2068" s="4"/>
      <c r="M2068" s="4"/>
      <c r="N2068" s="4"/>
      <c r="O2068" s="4"/>
      <c r="P2068" s="4"/>
      <c r="Q2068" s="4"/>
    </row>
    <row r="2069">
      <c r="A2069" s="5">
        <v>2068.0</v>
      </c>
      <c r="B2069" s="5" t="s">
        <v>2561</v>
      </c>
      <c r="C2069" s="5" t="s">
        <v>303</v>
      </c>
      <c r="D2069" s="6">
        <f>IFERROR(__xludf.DUMMYFUNCTION("SPLIT(MID(C2069,2,LEN(C2069)-2), "","")"),1241.0)</f>
        <v>1241</v>
      </c>
      <c r="E2069" s="7"/>
      <c r="F2069" s="7"/>
      <c r="G2069" s="2" t="str">
        <f t="array" ref="G2069">IF(ISBLANK(D2069), "", INDEX(Categories!$B:$B,MATCH(D2069,Categories!$A:$A,0)))</f>
        <v>Clothing &amp; Accessories</v>
      </c>
      <c r="H2069" s="7" t="str">
        <f t="array" ref="H2069">IF(ISBLANK(E2069), "", INDEX(Categories!$B:$B,MATCH(E2069,Categories!$A:$A,0)))</f>
        <v/>
      </c>
      <c r="I2069" s="7" t="str">
        <f t="array" ref="I2069">IF(ISBLANK(F2069), "", INDEX(Categories!$B:$B,MATCH(F2069,Categories!$A:$A,0)))</f>
        <v/>
      </c>
      <c r="J2069" s="4"/>
      <c r="K2069" s="4"/>
      <c r="L2069" s="4"/>
      <c r="M2069" s="4"/>
      <c r="N2069" s="4"/>
      <c r="O2069" s="4"/>
      <c r="P2069" s="4"/>
      <c r="Q2069" s="4"/>
    </row>
    <row r="2070">
      <c r="A2070" s="5">
        <v>2069.0</v>
      </c>
      <c r="B2070" s="5" t="s">
        <v>2562</v>
      </c>
      <c r="C2070" s="5" t="s">
        <v>62</v>
      </c>
      <c r="D2070" s="6">
        <f>IFERROR(__xludf.DUMMYFUNCTION("SPLIT(MID(C2070,2,LEN(C2070)-2), "","")"),242.0)</f>
        <v>242</v>
      </c>
      <c r="E2070" s="7"/>
      <c r="F2070" s="7"/>
      <c r="G2070" s="2" t="str">
        <f t="array" ref="G2070">IF(ISBLANK(D2070), "", INDEX(Categories!$B:$B,MATCH(D2070,Categories!$A:$A,0)))</f>
        <v>Restaurants Pizza</v>
      </c>
      <c r="H2070" s="7" t="str">
        <f t="array" ref="H2070">IF(ISBLANK(E2070), "", INDEX(Categories!$B:$B,MATCH(E2070,Categories!$A:$A,0)))</f>
        <v/>
      </c>
      <c r="I2070" s="7" t="str">
        <f t="array" ref="I2070">IF(ISBLANK(F2070), "", INDEX(Categories!$B:$B,MATCH(F2070,Categories!$A:$A,0)))</f>
        <v/>
      </c>
      <c r="J2070" s="4"/>
      <c r="K2070" s="4"/>
      <c r="L2070" s="4"/>
      <c r="M2070" s="4"/>
      <c r="N2070" s="4"/>
      <c r="O2070" s="4"/>
      <c r="P2070" s="4"/>
      <c r="Q2070" s="4"/>
    </row>
    <row r="2071">
      <c r="A2071" s="5">
        <v>2070.0</v>
      </c>
      <c r="B2071" s="5" t="s">
        <v>2563</v>
      </c>
      <c r="C2071" s="5" t="s">
        <v>2564</v>
      </c>
      <c r="D2071" s="6">
        <f>IFERROR(__xludf.DUMMYFUNCTION("SPLIT(MID(C2071,2,LEN(C2071)-2), "","")"),1997.0)</f>
        <v>1997</v>
      </c>
      <c r="E2071" s="7"/>
      <c r="F2071" s="7"/>
      <c r="G2071" s="2" t="str">
        <f t="array" ref="G2071">IF(ISBLANK(D2071), "", INDEX(Categories!$B:$B,MATCH(D2071,Categories!$A:$A,0)))</f>
        <v>Parking Lots &amp; Garages</v>
      </c>
      <c r="H2071" s="7" t="str">
        <f t="array" ref="H2071">IF(ISBLANK(E2071), "", INDEX(Categories!$B:$B,MATCH(E2071,Categories!$A:$A,0)))</f>
        <v/>
      </c>
      <c r="I2071" s="7" t="str">
        <f t="array" ref="I2071">IF(ISBLANK(F2071), "", INDEX(Categories!$B:$B,MATCH(F2071,Categories!$A:$A,0)))</f>
        <v/>
      </c>
      <c r="J2071" s="4"/>
      <c r="K2071" s="4"/>
      <c r="L2071" s="4"/>
      <c r="M2071" s="4"/>
      <c r="N2071" s="4"/>
      <c r="O2071" s="4"/>
      <c r="P2071" s="4"/>
      <c r="Q2071" s="4"/>
    </row>
    <row r="2072">
      <c r="A2072" s="5">
        <v>2071.0</v>
      </c>
      <c r="B2072" s="5" t="s">
        <v>2565</v>
      </c>
      <c r="C2072" s="5" t="s">
        <v>200</v>
      </c>
      <c r="D2072" s="6">
        <f>IFERROR(__xludf.DUMMYFUNCTION("SPLIT(MID(C2072,2,LEN(C2072)-2), "","")"),316.0)</f>
        <v>316</v>
      </c>
      <c r="E2072" s="7"/>
      <c r="F2072" s="7"/>
      <c r="G2072" s="2" t="str">
        <f t="array" ref="G2072">IF(ISBLANK(D2072), "", INDEX(Categories!$B:$B,MATCH(D2072,Categories!$A:$A,0)))</f>
        <v>Sporting Goods</v>
      </c>
      <c r="H2072" s="7" t="str">
        <f t="array" ref="H2072">IF(ISBLANK(E2072), "", INDEX(Categories!$B:$B,MATCH(E2072,Categories!$A:$A,0)))</f>
        <v/>
      </c>
      <c r="I2072" s="7" t="str">
        <f t="array" ref="I2072">IF(ISBLANK(F2072), "", INDEX(Categories!$B:$B,MATCH(F2072,Categories!$A:$A,0)))</f>
        <v/>
      </c>
      <c r="J2072" s="4"/>
      <c r="K2072" s="4"/>
      <c r="L2072" s="4"/>
      <c r="M2072" s="4"/>
      <c r="N2072" s="4"/>
      <c r="O2072" s="4"/>
      <c r="P2072" s="4"/>
      <c r="Q2072" s="4"/>
    </row>
    <row r="2073">
      <c r="A2073" s="5">
        <v>2072.0</v>
      </c>
      <c r="B2073" s="5" t="s">
        <v>2566</v>
      </c>
      <c r="C2073" s="5" t="s">
        <v>274</v>
      </c>
      <c r="D2073" s="6">
        <f>IFERROR(__xludf.DUMMYFUNCTION("SPLIT(MID(C2073,2,LEN(C2073)-2), "","")"),619.0)</f>
        <v>619</v>
      </c>
      <c r="E2073" s="7"/>
      <c r="F2073" s="7"/>
      <c r="G2073" s="2" t="str">
        <f t="array" ref="G2073">IF(ISBLANK(D2073), "", INDEX(Categories!$B:$B,MATCH(D2073,Categories!$A:$A,0)))</f>
        <v>Jewelry</v>
      </c>
      <c r="H2073" s="7" t="str">
        <f t="array" ref="H2073">IF(ISBLANK(E2073), "", INDEX(Categories!$B:$B,MATCH(E2073,Categories!$A:$A,0)))</f>
        <v/>
      </c>
      <c r="I2073" s="7" t="str">
        <f t="array" ref="I2073">IF(ISBLANK(F2073), "", INDEX(Categories!$B:$B,MATCH(F2073,Categories!$A:$A,0)))</f>
        <v/>
      </c>
      <c r="J2073" s="4"/>
      <c r="K2073" s="4"/>
      <c r="L2073" s="4"/>
      <c r="M2073" s="4"/>
      <c r="N2073" s="4"/>
      <c r="O2073" s="4"/>
      <c r="P2073" s="4"/>
      <c r="Q2073" s="4"/>
    </row>
    <row r="2074">
      <c r="A2074" s="5">
        <v>2073.0</v>
      </c>
      <c r="B2074" s="5" t="s">
        <v>2567</v>
      </c>
      <c r="C2074" s="5" t="s">
        <v>295</v>
      </c>
      <c r="D2074" s="6">
        <f>IFERROR(__xludf.DUMMYFUNCTION("SPLIT(MID(C2074,2,LEN(C2074)-2), "","")"),2896.0)</f>
        <v>2896</v>
      </c>
      <c r="E2074" s="7"/>
      <c r="F2074" s="7"/>
      <c r="G2074" s="2" t="str">
        <f t="array" ref="G2074">IF(ISBLANK(D2074), "", INDEX(Categories!$B:$B,MATCH(D2074,Categories!$A:$A,0)))</f>
        <v>Variety Stores</v>
      </c>
      <c r="H2074" s="7" t="str">
        <f t="array" ref="H2074">IF(ISBLANK(E2074), "", INDEX(Categories!$B:$B,MATCH(E2074,Categories!$A:$A,0)))</f>
        <v/>
      </c>
      <c r="I2074" s="7" t="str">
        <f t="array" ref="I2074">IF(ISBLANK(F2074), "", INDEX(Categories!$B:$B,MATCH(F2074,Categories!$A:$A,0)))</f>
        <v/>
      </c>
      <c r="J2074" s="4"/>
      <c r="K2074" s="4"/>
      <c r="L2074" s="4"/>
      <c r="M2074" s="4"/>
      <c r="N2074" s="4"/>
      <c r="O2074" s="4"/>
      <c r="P2074" s="4"/>
      <c r="Q2074" s="4"/>
    </row>
    <row r="2075">
      <c r="A2075" s="5">
        <v>2074.0</v>
      </c>
      <c r="B2075" s="5" t="s">
        <v>2568</v>
      </c>
      <c r="C2075" s="5" t="s">
        <v>249</v>
      </c>
      <c r="D2075" s="6">
        <f>IFERROR(__xludf.DUMMYFUNCTION("SPLIT(MID(C2075,2,LEN(C2075)-2), "","")"),593.0)</f>
        <v>593</v>
      </c>
      <c r="E2075" s="7"/>
      <c r="F2075" s="7"/>
      <c r="G2075" s="2" t="str">
        <f t="array" ref="G2075">IF(ISBLANK(D2075), "", INDEX(Categories!$B:$B,MATCH(D2075,Categories!$A:$A,0)))</f>
        <v>Ice Cream &amp; Frozen Desserts Dealers</v>
      </c>
      <c r="H2075" s="7" t="str">
        <f t="array" ref="H2075">IF(ISBLANK(E2075), "", INDEX(Categories!$B:$B,MATCH(E2075,Categories!$A:$A,0)))</f>
        <v/>
      </c>
      <c r="I2075" s="7" t="str">
        <f t="array" ref="I2075">IF(ISBLANK(F2075), "", INDEX(Categories!$B:$B,MATCH(F2075,Categories!$A:$A,0)))</f>
        <v/>
      </c>
      <c r="J2075" s="4"/>
      <c r="K2075" s="4"/>
      <c r="L2075" s="4"/>
      <c r="M2075" s="4"/>
      <c r="N2075" s="4"/>
      <c r="O2075" s="4"/>
      <c r="P2075" s="4"/>
      <c r="Q2075" s="4"/>
    </row>
    <row r="2076">
      <c r="A2076" s="5">
        <v>2075.0</v>
      </c>
      <c r="B2076" s="5" t="s">
        <v>2569</v>
      </c>
      <c r="C2076" s="5" t="s">
        <v>62</v>
      </c>
      <c r="D2076" s="6">
        <f>IFERROR(__xludf.DUMMYFUNCTION("SPLIT(MID(C2076,2,LEN(C2076)-2), "","")"),242.0)</f>
        <v>242</v>
      </c>
      <c r="E2076" s="7"/>
      <c r="F2076" s="7"/>
      <c r="G2076" s="2" t="str">
        <f t="array" ref="G2076">IF(ISBLANK(D2076), "", INDEX(Categories!$B:$B,MATCH(D2076,Categories!$A:$A,0)))</f>
        <v>Restaurants Pizza</v>
      </c>
      <c r="H2076" s="7" t="str">
        <f t="array" ref="H2076">IF(ISBLANK(E2076), "", INDEX(Categories!$B:$B,MATCH(E2076,Categories!$A:$A,0)))</f>
        <v/>
      </c>
      <c r="I2076" s="7" t="str">
        <f t="array" ref="I2076">IF(ISBLANK(F2076), "", INDEX(Categories!$B:$B,MATCH(F2076,Categories!$A:$A,0)))</f>
        <v/>
      </c>
      <c r="J2076" s="4"/>
      <c r="K2076" s="4"/>
      <c r="L2076" s="4"/>
      <c r="M2076" s="4"/>
      <c r="N2076" s="4"/>
      <c r="O2076" s="4"/>
      <c r="P2076" s="4"/>
      <c r="Q2076" s="4"/>
    </row>
    <row r="2077">
      <c r="A2077" s="5">
        <v>2076.0</v>
      </c>
      <c r="B2077" s="5" t="s">
        <v>2570</v>
      </c>
      <c r="C2077" s="5" t="s">
        <v>274</v>
      </c>
      <c r="D2077" s="6">
        <f>IFERROR(__xludf.DUMMYFUNCTION("SPLIT(MID(C2077,2,LEN(C2077)-2), "","")"),619.0)</f>
        <v>619</v>
      </c>
      <c r="E2077" s="7"/>
      <c r="F2077" s="7"/>
      <c r="G2077" s="2" t="str">
        <f t="array" ref="G2077">IF(ISBLANK(D2077), "", INDEX(Categories!$B:$B,MATCH(D2077,Categories!$A:$A,0)))</f>
        <v>Jewelry</v>
      </c>
      <c r="H2077" s="7" t="str">
        <f t="array" ref="H2077">IF(ISBLANK(E2077), "", INDEX(Categories!$B:$B,MATCH(E2077,Categories!$A:$A,0)))</f>
        <v/>
      </c>
      <c r="I2077" s="7" t="str">
        <f t="array" ref="I2077">IF(ISBLANK(F2077), "", INDEX(Categories!$B:$B,MATCH(F2077,Categories!$A:$A,0)))</f>
        <v/>
      </c>
      <c r="J2077" s="4"/>
      <c r="K2077" s="4"/>
      <c r="L2077" s="4"/>
      <c r="M2077" s="4"/>
      <c r="N2077" s="4"/>
      <c r="O2077" s="4"/>
      <c r="P2077" s="4"/>
      <c r="Q2077" s="4"/>
    </row>
    <row r="2078">
      <c r="A2078" s="5">
        <v>2077.0</v>
      </c>
      <c r="B2078" s="5" t="s">
        <v>2571</v>
      </c>
      <c r="C2078" s="5" t="s">
        <v>1674</v>
      </c>
      <c r="D2078" s="6">
        <f>IFERROR(__xludf.DUMMYFUNCTION("SPLIT(MID(C2078,2,LEN(C2078)-2), "","")"),2597.0)</f>
        <v>2597</v>
      </c>
      <c r="E2078" s="7"/>
      <c r="F2078" s="7"/>
      <c r="G2078" s="2" t="str">
        <f t="array" ref="G2078">IF(ISBLANK(D2078), "", INDEX(Categories!$B:$B,MATCH(D2078,Categories!$A:$A,0)))</f>
        <v>Exercise &amp; Physical Fitness Programs</v>
      </c>
      <c r="H2078" s="7" t="str">
        <f t="array" ref="H2078">IF(ISBLANK(E2078), "", INDEX(Categories!$B:$B,MATCH(E2078,Categories!$A:$A,0)))</f>
        <v/>
      </c>
      <c r="I2078" s="7" t="str">
        <f t="array" ref="I2078">IF(ISBLANK(F2078), "", INDEX(Categories!$B:$B,MATCH(F2078,Categories!$A:$A,0)))</f>
        <v/>
      </c>
      <c r="J2078" s="4"/>
      <c r="K2078" s="4"/>
      <c r="L2078" s="4"/>
      <c r="M2078" s="4"/>
      <c r="N2078" s="4"/>
      <c r="O2078" s="4"/>
      <c r="P2078" s="4"/>
      <c r="Q2078" s="4"/>
    </row>
    <row r="2079">
      <c r="A2079" s="5">
        <v>2078.0</v>
      </c>
      <c r="B2079" s="5" t="s">
        <v>2572</v>
      </c>
      <c r="C2079" s="5" t="s">
        <v>501</v>
      </c>
      <c r="D2079" s="6">
        <f>IFERROR(__xludf.DUMMYFUNCTION("SPLIT(MID(C2079,2,LEN(C2079)-2), "","")"),896.0)</f>
        <v>896</v>
      </c>
      <c r="E2079" s="7"/>
      <c r="F2079" s="7"/>
      <c r="G2079" s="2" t="str">
        <f t="array" ref="G2079">IF(ISBLANK(D2079), "", INDEX(Categories!$B:$B,MATCH(D2079,Categories!$A:$A,0)))</f>
        <v>Check Cashing Service</v>
      </c>
      <c r="H2079" s="7" t="str">
        <f t="array" ref="H2079">IF(ISBLANK(E2079), "", INDEX(Categories!$B:$B,MATCH(E2079,Categories!$A:$A,0)))</f>
        <v/>
      </c>
      <c r="I2079" s="7" t="str">
        <f t="array" ref="I2079">IF(ISBLANK(F2079), "", INDEX(Categories!$B:$B,MATCH(F2079,Categories!$A:$A,0)))</f>
        <v/>
      </c>
      <c r="J2079" s="4"/>
      <c r="K2079" s="4"/>
      <c r="L2079" s="4"/>
      <c r="M2079" s="4"/>
      <c r="N2079" s="4"/>
      <c r="O2079" s="4"/>
      <c r="P2079" s="4"/>
      <c r="Q2079" s="4"/>
    </row>
    <row r="2080">
      <c r="A2080" s="5">
        <v>2079.0</v>
      </c>
      <c r="B2080" s="5" t="s">
        <v>2573</v>
      </c>
      <c r="C2080" s="5" t="s">
        <v>1600</v>
      </c>
      <c r="D2080" s="6">
        <f>IFERROR(__xludf.DUMMYFUNCTION("SPLIT(MID(C2080,2,LEN(C2080)-2), "","")"),2595.0)</f>
        <v>2595</v>
      </c>
      <c r="E2080" s="7"/>
      <c r="F2080" s="7"/>
      <c r="G2080" s="2" t="str">
        <f t="array" ref="G2080">IF(ISBLANK(D2080), "", INDEX(Categories!$B:$B,MATCH(D2080,Categories!$A:$A,0)))</f>
        <v>Health &amp; Fitness Clubs</v>
      </c>
      <c r="H2080" s="7" t="str">
        <f t="array" ref="H2080">IF(ISBLANK(E2080), "", INDEX(Categories!$B:$B,MATCH(E2080,Categories!$A:$A,0)))</f>
        <v/>
      </c>
      <c r="I2080" s="7" t="str">
        <f t="array" ref="I2080">IF(ISBLANK(F2080), "", INDEX(Categories!$B:$B,MATCH(F2080,Categories!$A:$A,0)))</f>
        <v/>
      </c>
      <c r="J2080" s="4"/>
      <c r="K2080" s="4"/>
      <c r="L2080" s="4"/>
      <c r="M2080" s="4"/>
      <c r="N2080" s="4"/>
      <c r="O2080" s="4"/>
      <c r="P2080" s="4"/>
      <c r="Q2080" s="4"/>
    </row>
    <row r="2081">
      <c r="A2081" s="5">
        <v>2080.0</v>
      </c>
      <c r="B2081" s="5" t="s">
        <v>2574</v>
      </c>
      <c r="C2081" s="5" t="s">
        <v>128</v>
      </c>
      <c r="D2081" s="6">
        <f>IFERROR(__xludf.DUMMYFUNCTION("SPLIT(MID(C2081,2,LEN(C2081)-2), "","")"),110.0)</f>
        <v>110</v>
      </c>
      <c r="E2081" s="7"/>
      <c r="F2081" s="7"/>
      <c r="G2081" s="2" t="str">
        <f t="array" ref="G2081">IF(ISBLANK(D2081), "", INDEX(Categories!$B:$B,MATCH(D2081,Categories!$A:$A,0)))</f>
        <v>Automobile - Tires</v>
      </c>
      <c r="H2081" s="7" t="str">
        <f t="array" ref="H2081">IF(ISBLANK(E2081), "", INDEX(Categories!$B:$B,MATCH(E2081,Categories!$A:$A,0)))</f>
        <v/>
      </c>
      <c r="I2081" s="7" t="str">
        <f t="array" ref="I2081">IF(ISBLANK(F2081), "", INDEX(Categories!$B:$B,MATCH(F2081,Categories!$A:$A,0)))</f>
        <v/>
      </c>
      <c r="J2081" s="4"/>
      <c r="K2081" s="4"/>
      <c r="L2081" s="4"/>
      <c r="M2081" s="4"/>
      <c r="N2081" s="4"/>
      <c r="O2081" s="4"/>
      <c r="P2081" s="4"/>
      <c r="Q2081" s="4"/>
    </row>
    <row r="2082">
      <c r="A2082" s="5">
        <v>2081.0</v>
      </c>
      <c r="B2082" s="5" t="s">
        <v>2575</v>
      </c>
      <c r="C2082" s="5" t="s">
        <v>280</v>
      </c>
      <c r="D2082" s="6">
        <f>IFERROR(__xludf.DUMMYFUNCTION("SPLIT(MID(C2082,2,LEN(C2082)-2), "","")"),936.0)</f>
        <v>936</v>
      </c>
      <c r="E2082" s="7"/>
      <c r="F2082" s="7"/>
      <c r="G2082" s="2" t="str">
        <f t="array" ref="G2082">IF(ISBLANK(D2082), "", INDEX(Categories!$B:$B,MATCH(D2082,Categories!$A:$A,0)))</f>
        <v>Loans</v>
      </c>
      <c r="H2082" s="7" t="str">
        <f t="array" ref="H2082">IF(ISBLANK(E2082), "", INDEX(Categories!$B:$B,MATCH(E2082,Categories!$A:$A,0)))</f>
        <v/>
      </c>
      <c r="I2082" s="7" t="str">
        <f t="array" ref="I2082">IF(ISBLANK(F2082), "", INDEX(Categories!$B:$B,MATCH(F2082,Categories!$A:$A,0)))</f>
        <v/>
      </c>
      <c r="J2082" s="4"/>
      <c r="K2082" s="4"/>
      <c r="L2082" s="4"/>
      <c r="M2082" s="4"/>
      <c r="N2082" s="4"/>
      <c r="O2082" s="4"/>
      <c r="P2082" s="4"/>
      <c r="Q2082" s="4"/>
    </row>
    <row r="2083">
      <c r="A2083" s="5">
        <v>2082.0</v>
      </c>
      <c r="B2083" s="5" t="s">
        <v>2576</v>
      </c>
      <c r="C2083" s="5" t="s">
        <v>34</v>
      </c>
      <c r="D2083" s="6">
        <f>IFERROR(__xludf.DUMMYFUNCTION("SPLIT(MID(C2083,2,LEN(C2083)-2), "","")"),228.0)</f>
        <v>228</v>
      </c>
      <c r="E2083" s="7"/>
      <c r="F2083" s="7"/>
      <c r="G2083" s="2" t="str">
        <f t="array" ref="G2083">IF(ISBLANK(D2083), "", INDEX(Categories!$B:$B,MATCH(D2083,Categories!$A:$A,0)))</f>
        <v>Restaurants</v>
      </c>
      <c r="H2083" s="7" t="str">
        <f t="array" ref="H2083">IF(ISBLANK(E2083), "", INDEX(Categories!$B:$B,MATCH(E2083,Categories!$A:$A,0)))</f>
        <v/>
      </c>
      <c r="I2083" s="7" t="str">
        <f t="array" ref="I2083">IF(ISBLANK(F2083), "", INDEX(Categories!$B:$B,MATCH(F2083,Categories!$A:$A,0)))</f>
        <v/>
      </c>
      <c r="J2083" s="4"/>
      <c r="K2083" s="4"/>
      <c r="L2083" s="4"/>
      <c r="M2083" s="4"/>
      <c r="N2083" s="4"/>
      <c r="O2083" s="4"/>
      <c r="P2083" s="4"/>
      <c r="Q2083" s="4"/>
    </row>
    <row r="2084">
      <c r="A2084" s="5">
        <v>2083.0</v>
      </c>
      <c r="B2084" s="5" t="s">
        <v>2577</v>
      </c>
      <c r="C2084" s="5" t="s">
        <v>164</v>
      </c>
      <c r="D2084" s="6">
        <f>IFERROR(__xludf.DUMMYFUNCTION("SPLIT(MID(C2084,2,LEN(C2084)-2), "","")"),243.0)</f>
        <v>243</v>
      </c>
      <c r="E2084" s="7"/>
      <c r="F2084" s="7"/>
      <c r="G2084" s="2" t="str">
        <f t="array" ref="G2084">IF(ISBLANK(D2084), "", INDEX(Categories!$B:$B,MATCH(D2084,Categories!$A:$A,0)))</f>
        <v>Restaurants Seafood</v>
      </c>
      <c r="H2084" s="7" t="str">
        <f t="array" ref="H2084">IF(ISBLANK(E2084), "", INDEX(Categories!$B:$B,MATCH(E2084,Categories!$A:$A,0)))</f>
        <v/>
      </c>
      <c r="I2084" s="7" t="str">
        <f t="array" ref="I2084">IF(ISBLANK(F2084), "", INDEX(Categories!$B:$B,MATCH(F2084,Categories!$A:$A,0)))</f>
        <v/>
      </c>
      <c r="J2084" s="4"/>
      <c r="K2084" s="4"/>
      <c r="L2084" s="4"/>
      <c r="M2084" s="4"/>
      <c r="N2084" s="4"/>
      <c r="O2084" s="4"/>
      <c r="P2084" s="4"/>
      <c r="Q2084" s="4"/>
    </row>
    <row r="2085">
      <c r="A2085" s="5">
        <v>2084.0</v>
      </c>
      <c r="B2085" s="5" t="s">
        <v>2578</v>
      </c>
      <c r="C2085" s="5" t="s">
        <v>60</v>
      </c>
      <c r="D2085" s="6">
        <f>IFERROR(__xludf.DUMMYFUNCTION("SPLIT(MID(C2085,2,LEN(C2085)-2), "","")"),240.0)</f>
        <v>240</v>
      </c>
      <c r="E2085" s="7"/>
      <c r="F2085" s="7"/>
      <c r="G2085" s="2" t="str">
        <f t="array" ref="G2085">IF(ISBLANK(D2085), "", INDEX(Categories!$B:$B,MATCH(D2085,Categories!$A:$A,0)))</f>
        <v>Restaurants Fast Food</v>
      </c>
      <c r="H2085" s="7" t="str">
        <f t="array" ref="H2085">IF(ISBLANK(E2085), "", INDEX(Categories!$B:$B,MATCH(E2085,Categories!$A:$A,0)))</f>
        <v/>
      </c>
      <c r="I2085" s="7" t="str">
        <f t="array" ref="I2085">IF(ISBLANK(F2085), "", INDEX(Categories!$B:$B,MATCH(F2085,Categories!$A:$A,0)))</f>
        <v/>
      </c>
      <c r="J2085" s="4"/>
      <c r="K2085" s="4"/>
      <c r="L2085" s="4"/>
      <c r="M2085" s="4"/>
      <c r="N2085" s="4"/>
      <c r="O2085" s="4"/>
      <c r="P2085" s="4"/>
      <c r="Q2085" s="4"/>
    </row>
    <row r="2086">
      <c r="A2086" s="5">
        <v>2085.0</v>
      </c>
      <c r="B2086" s="5">
        <v>579.0</v>
      </c>
      <c r="C2086" s="5" t="s">
        <v>115</v>
      </c>
      <c r="D2086" s="6">
        <f>IFERROR(__xludf.DUMMYFUNCTION("SPLIT(MID(C2086,2,LEN(C2086)-2), "","")"),1272.0)</f>
        <v>1272</v>
      </c>
      <c r="E2086" s="7"/>
      <c r="F2086" s="7"/>
      <c r="G2086" s="2" t="str">
        <f t="array" ref="G2086">IF(ISBLANK(D2086), "", INDEX(Categories!$B:$B,MATCH(D2086,Categories!$A:$A,0)))</f>
        <v>Womens Apparel</v>
      </c>
      <c r="H2086" s="7" t="str">
        <f t="array" ref="H2086">IF(ISBLANK(E2086), "", INDEX(Categories!$B:$B,MATCH(E2086,Categories!$A:$A,0)))</f>
        <v/>
      </c>
      <c r="I2086" s="7" t="str">
        <f t="array" ref="I2086">IF(ISBLANK(F2086), "", INDEX(Categories!$B:$B,MATCH(F2086,Categories!$A:$A,0)))</f>
        <v/>
      </c>
      <c r="J2086" s="4"/>
      <c r="K2086" s="4"/>
      <c r="L2086" s="4"/>
      <c r="M2086" s="4"/>
      <c r="N2086" s="4"/>
      <c r="O2086" s="4"/>
      <c r="P2086" s="4"/>
      <c r="Q2086" s="4"/>
    </row>
    <row r="2087">
      <c r="A2087" s="5">
        <v>2086.0</v>
      </c>
      <c r="B2087" s="5" t="s">
        <v>2579</v>
      </c>
      <c r="C2087" s="5" t="s">
        <v>801</v>
      </c>
      <c r="D2087" s="6">
        <f>IFERROR(__xludf.DUMMYFUNCTION("SPLIT(MID(C2087,2,LEN(C2087)-2), "","")"),1886.0)</f>
        <v>1886</v>
      </c>
      <c r="E2087" s="7"/>
      <c r="F2087" s="7"/>
      <c r="G2087" s="2" t="str">
        <f t="array" ref="G2087">IF(ISBLANK(D2087), "", INDEX(Categories!$B:$B,MATCH(D2087,Categories!$A:$A,0)))</f>
        <v>Pet Shops</v>
      </c>
      <c r="H2087" s="7" t="str">
        <f t="array" ref="H2087">IF(ISBLANK(E2087), "", INDEX(Categories!$B:$B,MATCH(E2087,Categories!$A:$A,0)))</f>
        <v/>
      </c>
      <c r="I2087" s="7" t="str">
        <f t="array" ref="I2087">IF(ISBLANK(F2087), "", INDEX(Categories!$B:$B,MATCH(F2087,Categories!$A:$A,0)))</f>
        <v/>
      </c>
      <c r="J2087" s="4"/>
      <c r="K2087" s="4"/>
      <c r="L2087" s="4"/>
      <c r="M2087" s="4"/>
      <c r="N2087" s="4"/>
      <c r="O2087" s="4"/>
      <c r="P2087" s="4"/>
      <c r="Q2087" s="4"/>
    </row>
    <row r="2088">
      <c r="A2088" s="5">
        <v>2087.0</v>
      </c>
      <c r="B2088" s="5" t="s">
        <v>2580</v>
      </c>
      <c r="C2088" s="5" t="s">
        <v>280</v>
      </c>
      <c r="D2088" s="6">
        <f>IFERROR(__xludf.DUMMYFUNCTION("SPLIT(MID(C2088,2,LEN(C2088)-2), "","")"),936.0)</f>
        <v>936</v>
      </c>
      <c r="E2088" s="7"/>
      <c r="F2088" s="7"/>
      <c r="G2088" s="2" t="str">
        <f t="array" ref="G2088">IF(ISBLANK(D2088), "", INDEX(Categories!$B:$B,MATCH(D2088,Categories!$A:$A,0)))</f>
        <v>Loans</v>
      </c>
      <c r="H2088" s="7" t="str">
        <f t="array" ref="H2088">IF(ISBLANK(E2088), "", INDEX(Categories!$B:$B,MATCH(E2088,Categories!$A:$A,0)))</f>
        <v/>
      </c>
      <c r="I2088" s="7" t="str">
        <f t="array" ref="I2088">IF(ISBLANK(F2088), "", INDEX(Categories!$B:$B,MATCH(F2088,Categories!$A:$A,0)))</f>
        <v/>
      </c>
      <c r="J2088" s="4"/>
      <c r="K2088" s="4"/>
      <c r="L2088" s="4"/>
      <c r="M2088" s="4"/>
      <c r="N2088" s="4"/>
      <c r="O2088" s="4"/>
      <c r="P2088" s="4"/>
      <c r="Q2088" s="4"/>
    </row>
    <row r="2089">
      <c r="A2089" s="5">
        <v>2088.0</v>
      </c>
      <c r="B2089" s="5" t="s">
        <v>2581</v>
      </c>
      <c r="C2089" s="5" t="s">
        <v>493</v>
      </c>
      <c r="D2089" s="6">
        <f>IFERROR(__xludf.DUMMYFUNCTION("SPLIT(MID(C2089,2,LEN(C2089)-2), "","")"),766.0)</f>
        <v>766</v>
      </c>
      <c r="E2089" s="7"/>
      <c r="F2089" s="7"/>
      <c r="G2089" s="2" t="str">
        <f t="array" ref="G2089">IF(ISBLANK(D2089), "", INDEX(Categories!$B:$B,MATCH(D2089,Categories!$A:$A,0)))</f>
        <v>Pawnbrokers</v>
      </c>
      <c r="H2089" s="7" t="str">
        <f t="array" ref="H2089">IF(ISBLANK(E2089), "", INDEX(Categories!$B:$B,MATCH(E2089,Categories!$A:$A,0)))</f>
        <v/>
      </c>
      <c r="I2089" s="7" t="str">
        <f t="array" ref="I2089">IF(ISBLANK(F2089), "", INDEX(Categories!$B:$B,MATCH(F2089,Categories!$A:$A,0)))</f>
        <v/>
      </c>
      <c r="J2089" s="4"/>
      <c r="K2089" s="4"/>
      <c r="L2089" s="4"/>
      <c r="M2089" s="4"/>
      <c r="N2089" s="4"/>
      <c r="O2089" s="4"/>
      <c r="P2089" s="4"/>
      <c r="Q2089" s="4"/>
    </row>
    <row r="2090">
      <c r="A2090" s="5">
        <v>2089.0</v>
      </c>
      <c r="B2090" s="5" t="s">
        <v>2582</v>
      </c>
      <c r="C2090" s="5" t="s">
        <v>217</v>
      </c>
      <c r="D2090" s="6">
        <f>IFERROR(__xludf.DUMMYFUNCTION("SPLIT(MID(C2090,2,LEN(C2090)-2), "","")"),147.0)</f>
        <v>147</v>
      </c>
      <c r="E2090" s="7"/>
      <c r="F2090" s="7"/>
      <c r="G2090" s="2" t="str">
        <f t="array" ref="G2090">IF(ISBLANK(D2090), "", INDEX(Categories!$B:$B,MATCH(D2090,Categories!$A:$A,0)))</f>
        <v>Contractors - Plumbers &amp; Plumbing</v>
      </c>
      <c r="H2090" s="7" t="str">
        <f t="array" ref="H2090">IF(ISBLANK(E2090), "", INDEX(Categories!$B:$B,MATCH(E2090,Categories!$A:$A,0)))</f>
        <v/>
      </c>
      <c r="I2090" s="7" t="str">
        <f t="array" ref="I2090">IF(ISBLANK(F2090), "", INDEX(Categories!$B:$B,MATCH(F2090,Categories!$A:$A,0)))</f>
        <v/>
      </c>
      <c r="J2090" s="4"/>
      <c r="K2090" s="4"/>
      <c r="L2090" s="4"/>
      <c r="M2090" s="4"/>
      <c r="N2090" s="4"/>
      <c r="O2090" s="4"/>
      <c r="P2090" s="4"/>
      <c r="Q2090" s="4"/>
    </row>
    <row r="2091">
      <c r="A2091" s="5">
        <v>2090.0</v>
      </c>
      <c r="B2091" s="5" t="s">
        <v>2583</v>
      </c>
      <c r="C2091" s="5" t="s">
        <v>801</v>
      </c>
      <c r="D2091" s="6">
        <f>IFERROR(__xludf.DUMMYFUNCTION("SPLIT(MID(C2091,2,LEN(C2091)-2), "","")"),1886.0)</f>
        <v>1886</v>
      </c>
      <c r="E2091" s="7"/>
      <c r="F2091" s="7"/>
      <c r="G2091" s="2" t="str">
        <f t="array" ref="G2091">IF(ISBLANK(D2091), "", INDEX(Categories!$B:$B,MATCH(D2091,Categories!$A:$A,0)))</f>
        <v>Pet Shops</v>
      </c>
      <c r="H2091" s="7" t="str">
        <f t="array" ref="H2091">IF(ISBLANK(E2091), "", INDEX(Categories!$B:$B,MATCH(E2091,Categories!$A:$A,0)))</f>
        <v/>
      </c>
      <c r="I2091" s="7" t="str">
        <f t="array" ref="I2091">IF(ISBLANK(F2091), "", INDEX(Categories!$B:$B,MATCH(F2091,Categories!$A:$A,0)))</f>
        <v/>
      </c>
      <c r="J2091" s="4"/>
      <c r="K2091" s="4"/>
      <c r="L2091" s="4"/>
      <c r="M2091" s="4"/>
      <c r="N2091" s="4"/>
      <c r="O2091" s="4"/>
      <c r="P2091" s="4"/>
      <c r="Q2091" s="4"/>
    </row>
    <row r="2092">
      <c r="A2092" s="5">
        <v>2091.0</v>
      </c>
      <c r="B2092" s="5" t="s">
        <v>2584</v>
      </c>
      <c r="C2092" s="5" t="s">
        <v>10</v>
      </c>
      <c r="D2092" s="6">
        <f>IFERROR(__xludf.DUMMYFUNCTION("SPLIT(MID(C2092,2,LEN(C2092)-2), "","")"),1168.0)</f>
        <v>1168</v>
      </c>
      <c r="E2092" s="7"/>
      <c r="F2092" s="7"/>
      <c r="G2092" s="2" t="str">
        <f t="array" ref="G2092">IF(ISBLANK(D2092), "", INDEX(Categories!$B:$B,MATCH(D2092,Categories!$A:$A,0)))</f>
        <v>Convenience Stores</v>
      </c>
      <c r="H2092" s="7" t="str">
        <f t="array" ref="H2092">IF(ISBLANK(E2092), "", INDEX(Categories!$B:$B,MATCH(E2092,Categories!$A:$A,0)))</f>
        <v/>
      </c>
      <c r="I2092" s="7" t="str">
        <f t="array" ref="I2092">IF(ISBLANK(F2092), "", INDEX(Categories!$B:$B,MATCH(F2092,Categories!$A:$A,0)))</f>
        <v/>
      </c>
      <c r="J2092" s="4"/>
      <c r="K2092" s="4"/>
      <c r="L2092" s="4"/>
      <c r="M2092" s="4"/>
      <c r="N2092" s="4"/>
      <c r="O2092" s="4"/>
      <c r="P2092" s="4"/>
      <c r="Q2092" s="4"/>
    </row>
    <row r="2093">
      <c r="A2093" s="5">
        <v>2092.0</v>
      </c>
      <c r="B2093" s="5" t="s">
        <v>2585</v>
      </c>
      <c r="C2093" s="5" t="s">
        <v>2425</v>
      </c>
      <c r="D2093" s="6">
        <f>IFERROR(__xludf.DUMMYFUNCTION("SPLIT(MID(C2093,2,LEN(C2093)-2), "","")"),279.0)</f>
        <v>279</v>
      </c>
      <c r="E2093" s="7"/>
      <c r="F2093" s="7"/>
      <c r="G2093" s="2" t="str">
        <f t="array" ref="G2093">IF(ISBLANK(D2093), "", INDEX(Categories!$B:$B,MATCH(D2093,Categories!$A:$A,0)))</f>
        <v>Paint Retail</v>
      </c>
      <c r="H2093" s="7" t="str">
        <f t="array" ref="H2093">IF(ISBLANK(E2093), "", INDEX(Categories!$B:$B,MATCH(E2093,Categories!$A:$A,0)))</f>
        <v/>
      </c>
      <c r="I2093" s="7" t="str">
        <f t="array" ref="I2093">IF(ISBLANK(F2093), "", INDEX(Categories!$B:$B,MATCH(F2093,Categories!$A:$A,0)))</f>
        <v/>
      </c>
      <c r="J2093" s="4"/>
      <c r="K2093" s="4"/>
      <c r="L2093" s="4"/>
      <c r="M2093" s="4"/>
      <c r="N2093" s="4"/>
      <c r="O2093" s="4"/>
      <c r="P2093" s="4"/>
      <c r="Q2093" s="4"/>
    </row>
    <row r="2094">
      <c r="A2094" s="5">
        <v>2093.0</v>
      </c>
      <c r="B2094" s="5" t="s">
        <v>2586</v>
      </c>
      <c r="C2094" s="5" t="s">
        <v>69</v>
      </c>
      <c r="D2094" s="6">
        <f>IFERROR(__xludf.DUMMYFUNCTION("SPLIT(MID(C2094,2,LEN(C2094)-2), "","")"),293.0)</f>
        <v>293</v>
      </c>
      <c r="E2094" s="7"/>
      <c r="F2094" s="7"/>
      <c r="G2094" s="2" t="str">
        <f t="array" ref="G2094">IF(ISBLANK(D2094), "", INDEX(Categories!$B:$B,MATCH(D2094,Categories!$A:$A,0)))</f>
        <v>Banks Commercial</v>
      </c>
      <c r="H2094" s="7" t="str">
        <f t="array" ref="H2094">IF(ISBLANK(E2094), "", INDEX(Categories!$B:$B,MATCH(E2094,Categories!$A:$A,0)))</f>
        <v/>
      </c>
      <c r="I2094" s="7" t="str">
        <f t="array" ref="I2094">IF(ISBLANK(F2094), "", INDEX(Categories!$B:$B,MATCH(F2094,Categories!$A:$A,0)))</f>
        <v/>
      </c>
      <c r="J2094" s="4"/>
      <c r="K2094" s="4"/>
      <c r="L2094" s="4"/>
      <c r="M2094" s="4"/>
      <c r="N2094" s="4"/>
      <c r="O2094" s="4"/>
      <c r="P2094" s="4"/>
      <c r="Q2094" s="4"/>
    </row>
    <row r="2095">
      <c r="A2095" s="5">
        <v>2094.0</v>
      </c>
      <c r="B2095" s="5" t="s">
        <v>2587</v>
      </c>
      <c r="C2095" s="5" t="s">
        <v>266</v>
      </c>
      <c r="D2095" s="6">
        <f>IFERROR(__xludf.DUMMYFUNCTION("SPLIT(MID(C2095,2,LEN(C2095)-2), "","")"),429.0)</f>
        <v>429</v>
      </c>
      <c r="E2095" s="7"/>
      <c r="F2095" s="7"/>
      <c r="G2095" s="2" t="str">
        <f t="array" ref="G2095">IF(ISBLANK(D2095), "", INDEX(Categories!$B:$B,MATCH(D2095,Categories!$A:$A,0)))</f>
        <v>Bookstores</v>
      </c>
      <c r="H2095" s="7" t="str">
        <f t="array" ref="H2095">IF(ISBLANK(E2095), "", INDEX(Categories!$B:$B,MATCH(E2095,Categories!$A:$A,0)))</f>
        <v/>
      </c>
      <c r="I2095" s="7" t="str">
        <f t="array" ref="I2095">IF(ISBLANK(F2095), "", INDEX(Categories!$B:$B,MATCH(F2095,Categories!$A:$A,0)))</f>
        <v/>
      </c>
      <c r="J2095" s="4"/>
      <c r="K2095" s="4"/>
      <c r="L2095" s="4"/>
      <c r="M2095" s="4"/>
      <c r="N2095" s="4"/>
      <c r="O2095" s="4"/>
      <c r="P2095" s="4"/>
      <c r="Q2095" s="4"/>
    </row>
    <row r="2096">
      <c r="A2096" s="5">
        <v>2095.0</v>
      </c>
      <c r="B2096" s="5" t="s">
        <v>2588</v>
      </c>
      <c r="C2096" s="5" t="s">
        <v>813</v>
      </c>
      <c r="D2096" s="6">
        <f>IFERROR(__xludf.DUMMYFUNCTION("SPLIT(MID(C2096,2,LEN(C2096)-2), "","")"),2429.0)</f>
        <v>2429</v>
      </c>
      <c r="E2096" s="7"/>
      <c r="F2096" s="7"/>
      <c r="G2096" s="2" t="str">
        <f t="array" ref="G2096">IF(ISBLANK(D2096), "", INDEX(Categories!$B:$B,MATCH(D2096,Categories!$A:$A,0)))</f>
        <v>Laundry Services</v>
      </c>
      <c r="H2096" s="7" t="str">
        <f t="array" ref="H2096">IF(ISBLANK(E2096), "", INDEX(Categories!$B:$B,MATCH(E2096,Categories!$A:$A,0)))</f>
        <v/>
      </c>
      <c r="I2096" s="7" t="str">
        <f t="array" ref="I2096">IF(ISBLANK(F2096), "", INDEX(Categories!$B:$B,MATCH(F2096,Categories!$A:$A,0)))</f>
        <v/>
      </c>
      <c r="J2096" s="4"/>
      <c r="K2096" s="4"/>
      <c r="L2096" s="4"/>
      <c r="M2096" s="4"/>
      <c r="N2096" s="4"/>
      <c r="O2096" s="4"/>
      <c r="P2096" s="4"/>
      <c r="Q2096" s="4"/>
    </row>
    <row r="2097">
      <c r="A2097" s="5">
        <v>2096.0</v>
      </c>
      <c r="B2097" s="5" t="s">
        <v>2589</v>
      </c>
      <c r="C2097" s="5" t="s">
        <v>1006</v>
      </c>
      <c r="D2097" s="6">
        <f>IFERROR(__xludf.DUMMYFUNCTION("SPLIT(MID(C2097,2,LEN(C2097)-2), "","")"),1808.0)</f>
        <v>1808</v>
      </c>
      <c r="E2097" s="7"/>
      <c r="F2097" s="7"/>
      <c r="G2097" s="2" t="str">
        <f t="array" ref="G2097">IF(ISBLANK(D2097), "", INDEX(Categories!$B:$B,MATCH(D2097,Categories!$A:$A,0)))</f>
        <v>Coffee Houses</v>
      </c>
      <c r="H2097" s="7" t="str">
        <f t="array" ref="H2097">IF(ISBLANK(E2097), "", INDEX(Categories!$B:$B,MATCH(E2097,Categories!$A:$A,0)))</f>
        <v/>
      </c>
      <c r="I2097" s="7" t="str">
        <f t="array" ref="I2097">IF(ISBLANK(F2097), "", INDEX(Categories!$B:$B,MATCH(F2097,Categories!$A:$A,0)))</f>
        <v/>
      </c>
      <c r="J2097" s="4"/>
      <c r="K2097" s="4"/>
      <c r="L2097" s="4"/>
      <c r="M2097" s="4"/>
      <c r="N2097" s="4"/>
      <c r="O2097" s="4"/>
      <c r="P2097" s="4"/>
      <c r="Q2097" s="4"/>
    </row>
    <row r="2098">
      <c r="A2098" s="5">
        <v>2097.0</v>
      </c>
      <c r="B2098" s="5" t="s">
        <v>2590</v>
      </c>
      <c r="C2098" s="5" t="s">
        <v>2591</v>
      </c>
      <c r="D2098" s="6">
        <f>IFERROR(__xludf.DUMMYFUNCTION("SPLIT(MID(C2098,2,LEN(C2098)-2), "","")"),707.0)</f>
        <v>707</v>
      </c>
      <c r="E2098" s="7"/>
      <c r="F2098" s="7"/>
      <c r="G2098" s="2" t="str">
        <f t="array" ref="G2098">IF(ISBLANK(D2098), "", INDEX(Categories!$B:$B,MATCH(D2098,Categories!$A:$A,0)))</f>
        <v>Massage Therapists</v>
      </c>
      <c r="H2098" s="7" t="str">
        <f t="array" ref="H2098">IF(ISBLANK(E2098), "", INDEX(Categories!$B:$B,MATCH(E2098,Categories!$A:$A,0)))</f>
        <v/>
      </c>
      <c r="I2098" s="7" t="str">
        <f t="array" ref="I2098">IF(ISBLANK(F2098), "", INDEX(Categories!$B:$B,MATCH(F2098,Categories!$A:$A,0)))</f>
        <v/>
      </c>
      <c r="J2098" s="4"/>
      <c r="K2098" s="4"/>
      <c r="L2098" s="4"/>
      <c r="M2098" s="4"/>
      <c r="N2098" s="4"/>
      <c r="O2098" s="4"/>
      <c r="P2098" s="4"/>
      <c r="Q2098" s="4"/>
    </row>
    <row r="2099">
      <c r="A2099" s="5">
        <v>2098.0</v>
      </c>
      <c r="B2099" s="5" t="s">
        <v>2592</v>
      </c>
      <c r="C2099" s="5" t="s">
        <v>190</v>
      </c>
      <c r="D2099" s="6">
        <f>IFERROR(__xludf.DUMMYFUNCTION("SPLIT(MID(C2099,2,LEN(C2099)-2), "","")"),639.0)</f>
        <v>639</v>
      </c>
      <c r="E2099" s="7"/>
      <c r="F2099" s="7"/>
      <c r="G2099" s="2" t="str">
        <f t="array" ref="G2099">IF(ISBLANK(D2099), "", INDEX(Categories!$B:$B,MATCH(D2099,Categories!$A:$A,0)))</f>
        <v>Photographers Portrait</v>
      </c>
      <c r="H2099" s="7" t="str">
        <f t="array" ref="H2099">IF(ISBLANK(E2099), "", INDEX(Categories!$B:$B,MATCH(E2099,Categories!$A:$A,0)))</f>
        <v/>
      </c>
      <c r="I2099" s="7" t="str">
        <f t="array" ref="I2099">IF(ISBLANK(F2099), "", INDEX(Categories!$B:$B,MATCH(F2099,Categories!$A:$A,0)))</f>
        <v/>
      </c>
      <c r="J2099" s="4"/>
      <c r="K2099" s="4"/>
      <c r="L2099" s="4"/>
      <c r="M2099" s="4"/>
      <c r="N2099" s="4"/>
      <c r="O2099" s="4"/>
      <c r="P2099" s="4"/>
      <c r="Q2099" s="4"/>
    </row>
    <row r="2100">
      <c r="A2100" s="5">
        <v>2099.0</v>
      </c>
      <c r="B2100" s="5" t="s">
        <v>2593</v>
      </c>
      <c r="C2100" s="5" t="s">
        <v>626</v>
      </c>
      <c r="D2100" s="6">
        <f>IFERROR(__xludf.DUMMYFUNCTION("SPLIT(MID(C2100,2,LEN(C2100)-2), "","")"),1247.0)</f>
        <v>1247</v>
      </c>
      <c r="E2100" s="7"/>
      <c r="F2100" s="7"/>
      <c r="G2100" s="2" t="str">
        <f t="array" ref="G2100">IF(ISBLANK(D2100), "", INDEX(Categories!$B:$B,MATCH(D2100,Categories!$A:$A,0)))</f>
        <v>Clothing Children &amp; Infant</v>
      </c>
      <c r="H2100" s="7" t="str">
        <f t="array" ref="H2100">IF(ISBLANK(E2100), "", INDEX(Categories!$B:$B,MATCH(E2100,Categories!$A:$A,0)))</f>
        <v/>
      </c>
      <c r="I2100" s="7" t="str">
        <f t="array" ref="I2100">IF(ISBLANK(F2100), "", INDEX(Categories!$B:$B,MATCH(F2100,Categories!$A:$A,0)))</f>
        <v/>
      </c>
      <c r="J2100" s="4"/>
      <c r="K2100" s="4"/>
      <c r="L2100" s="4"/>
      <c r="M2100" s="4"/>
      <c r="N2100" s="4"/>
      <c r="O2100" s="4"/>
      <c r="P2100" s="4"/>
      <c r="Q2100" s="4"/>
    </row>
    <row r="2101">
      <c r="A2101" s="5">
        <v>2100.0</v>
      </c>
      <c r="B2101" s="5" t="s">
        <v>2594</v>
      </c>
      <c r="C2101" s="5" t="s">
        <v>62</v>
      </c>
      <c r="D2101" s="6">
        <f>IFERROR(__xludf.DUMMYFUNCTION("SPLIT(MID(C2101,2,LEN(C2101)-2), "","")"),242.0)</f>
        <v>242</v>
      </c>
      <c r="E2101" s="7"/>
      <c r="F2101" s="7"/>
      <c r="G2101" s="2" t="str">
        <f t="array" ref="G2101">IF(ISBLANK(D2101), "", INDEX(Categories!$B:$B,MATCH(D2101,Categories!$A:$A,0)))</f>
        <v>Restaurants Pizza</v>
      </c>
      <c r="H2101" s="7" t="str">
        <f t="array" ref="H2101">IF(ISBLANK(E2101), "", INDEX(Categories!$B:$B,MATCH(E2101,Categories!$A:$A,0)))</f>
        <v/>
      </c>
      <c r="I2101" s="7" t="str">
        <f t="array" ref="I2101">IF(ISBLANK(F2101), "", INDEX(Categories!$B:$B,MATCH(F2101,Categories!$A:$A,0)))</f>
        <v/>
      </c>
      <c r="J2101" s="4"/>
      <c r="K2101" s="4"/>
      <c r="L2101" s="4"/>
      <c r="M2101" s="4"/>
      <c r="N2101" s="4"/>
      <c r="O2101" s="4"/>
      <c r="P2101" s="4"/>
      <c r="Q2101" s="4"/>
    </row>
    <row r="2102">
      <c r="A2102" s="5">
        <v>2101.0</v>
      </c>
      <c r="B2102" s="5" t="s">
        <v>2595</v>
      </c>
      <c r="C2102" s="5" t="s">
        <v>266</v>
      </c>
      <c r="D2102" s="6">
        <f>IFERROR(__xludf.DUMMYFUNCTION("SPLIT(MID(C2102,2,LEN(C2102)-2), "","")"),429.0)</f>
        <v>429</v>
      </c>
      <c r="E2102" s="7"/>
      <c r="F2102" s="7"/>
      <c r="G2102" s="2" t="str">
        <f t="array" ref="G2102">IF(ISBLANK(D2102), "", INDEX(Categories!$B:$B,MATCH(D2102,Categories!$A:$A,0)))</f>
        <v>Bookstores</v>
      </c>
      <c r="H2102" s="7" t="str">
        <f t="array" ref="H2102">IF(ISBLANK(E2102), "", INDEX(Categories!$B:$B,MATCH(E2102,Categories!$A:$A,0)))</f>
        <v/>
      </c>
      <c r="I2102" s="7" t="str">
        <f t="array" ref="I2102">IF(ISBLANK(F2102), "", INDEX(Categories!$B:$B,MATCH(F2102,Categories!$A:$A,0)))</f>
        <v/>
      </c>
      <c r="J2102" s="4"/>
      <c r="K2102" s="4"/>
      <c r="L2102" s="4"/>
      <c r="M2102" s="4"/>
      <c r="N2102" s="4"/>
      <c r="O2102" s="4"/>
      <c r="P2102" s="4"/>
      <c r="Q2102" s="4"/>
    </row>
    <row r="2103">
      <c r="A2103" s="5">
        <v>2102.0</v>
      </c>
      <c r="B2103" s="5" t="s">
        <v>2596</v>
      </c>
      <c r="C2103" s="5" t="s">
        <v>725</v>
      </c>
      <c r="D2103" s="6">
        <f>IFERROR(__xludf.DUMMYFUNCTION("SPLIT(MID(C2103,2,LEN(C2103)-2), "","")"),863.0)</f>
        <v>863</v>
      </c>
      <c r="E2103" s="7"/>
      <c r="F2103" s="7"/>
      <c r="G2103" s="2" t="str">
        <f t="array" ref="G2103">IF(ISBLANK(D2103), "", INDEX(Categories!$B:$B,MATCH(D2103,Categories!$A:$A,0)))</f>
        <v>Compact Discs Cassette Tapes &amp; Records</v>
      </c>
      <c r="H2103" s="7" t="str">
        <f t="array" ref="H2103">IF(ISBLANK(E2103), "", INDEX(Categories!$B:$B,MATCH(E2103,Categories!$A:$A,0)))</f>
        <v/>
      </c>
      <c r="I2103" s="7" t="str">
        <f t="array" ref="I2103">IF(ISBLANK(F2103), "", INDEX(Categories!$B:$B,MATCH(F2103,Categories!$A:$A,0)))</f>
        <v/>
      </c>
      <c r="J2103" s="4"/>
      <c r="K2103" s="4"/>
      <c r="L2103" s="4"/>
      <c r="M2103" s="4"/>
      <c r="N2103" s="4"/>
      <c r="O2103" s="4"/>
      <c r="P2103" s="4"/>
      <c r="Q2103" s="4"/>
    </row>
    <row r="2104">
      <c r="A2104" s="5">
        <v>2103.0</v>
      </c>
      <c r="B2104" s="5" t="s">
        <v>2597</v>
      </c>
      <c r="C2104" s="5" t="s">
        <v>660</v>
      </c>
      <c r="D2104" s="6">
        <f>IFERROR(__xludf.DUMMYFUNCTION("SPLIT(MID(C2104,2,LEN(C2104)-2), "","")"),1260.0)</f>
        <v>1260</v>
      </c>
      <c r="E2104" s="7"/>
      <c r="F2104" s="7"/>
      <c r="G2104" s="2" t="str">
        <f t="array" ref="G2104">IF(ISBLANK(D2104), "", INDEX(Categories!$B:$B,MATCH(D2104,Categories!$A:$A,0)))</f>
        <v>Maternity Clothing Retail</v>
      </c>
      <c r="H2104" s="7" t="str">
        <f t="array" ref="H2104">IF(ISBLANK(E2104), "", INDEX(Categories!$B:$B,MATCH(E2104,Categories!$A:$A,0)))</f>
        <v/>
      </c>
      <c r="I2104" s="7" t="str">
        <f t="array" ref="I2104">IF(ISBLANK(F2104), "", INDEX(Categories!$B:$B,MATCH(F2104,Categories!$A:$A,0)))</f>
        <v/>
      </c>
      <c r="J2104" s="4"/>
      <c r="K2104" s="4"/>
      <c r="L2104" s="4"/>
      <c r="M2104" s="4"/>
      <c r="N2104" s="4"/>
      <c r="O2104" s="4"/>
      <c r="P2104" s="4"/>
      <c r="Q2104" s="4"/>
    </row>
    <row r="2105">
      <c r="A2105" s="5">
        <v>2104.0</v>
      </c>
      <c r="B2105" s="5" t="s">
        <v>2598</v>
      </c>
      <c r="C2105" s="5" t="s">
        <v>161</v>
      </c>
      <c r="D2105" s="6">
        <f>IFERROR(__xludf.DUMMYFUNCTION("SPLIT(MID(C2105,2,LEN(C2105)-2), "","")"),1835.0)</f>
        <v>1835</v>
      </c>
      <c r="E2105" s="7"/>
      <c r="F2105" s="7"/>
      <c r="G2105" s="2" t="str">
        <f t="array" ref="G2105">IF(ISBLANK(D2105), "", INDEX(Categories!$B:$B,MATCH(D2105,Categories!$A:$A,0)))</f>
        <v>Optical Goods</v>
      </c>
      <c r="H2105" s="7" t="str">
        <f t="array" ref="H2105">IF(ISBLANK(E2105), "", INDEX(Categories!$B:$B,MATCH(E2105,Categories!$A:$A,0)))</f>
        <v/>
      </c>
      <c r="I2105" s="7" t="str">
        <f t="array" ref="I2105">IF(ISBLANK(F2105), "", INDEX(Categories!$B:$B,MATCH(F2105,Categories!$A:$A,0)))</f>
        <v/>
      </c>
      <c r="J2105" s="4"/>
      <c r="K2105" s="4"/>
      <c r="L2105" s="4"/>
      <c r="M2105" s="4"/>
      <c r="N2105" s="4"/>
      <c r="O2105" s="4"/>
      <c r="P2105" s="4"/>
      <c r="Q2105" s="4"/>
    </row>
    <row r="2106">
      <c r="A2106" s="5">
        <v>2105.0</v>
      </c>
      <c r="B2106" s="5" t="s">
        <v>2599</v>
      </c>
      <c r="C2106" s="5" t="s">
        <v>733</v>
      </c>
      <c r="D2106" s="6">
        <f>IFERROR(__xludf.DUMMYFUNCTION("SPLIT(MID(C2106,2,LEN(C2106)-2), "","")"),576.0)</f>
        <v>576</v>
      </c>
      <c r="E2106" s="7"/>
      <c r="F2106" s="7"/>
      <c r="G2106" s="2" t="str">
        <f t="array" ref="G2106">IF(ISBLANK(D2106), "", INDEX(Categories!$B:$B,MATCH(D2106,Categories!$A:$A,0)))</f>
        <v>Candy &amp; Confectionery Retail</v>
      </c>
      <c r="H2106" s="7" t="str">
        <f t="array" ref="H2106">IF(ISBLANK(E2106), "", INDEX(Categories!$B:$B,MATCH(E2106,Categories!$A:$A,0)))</f>
        <v/>
      </c>
      <c r="I2106" s="7" t="str">
        <f t="array" ref="I2106">IF(ISBLANK(F2106), "", INDEX(Categories!$B:$B,MATCH(F2106,Categories!$A:$A,0)))</f>
        <v/>
      </c>
      <c r="J2106" s="4"/>
      <c r="K2106" s="4"/>
      <c r="L2106" s="4"/>
      <c r="M2106" s="4"/>
      <c r="N2106" s="4"/>
      <c r="O2106" s="4"/>
      <c r="P2106" s="4"/>
      <c r="Q2106" s="4"/>
    </row>
    <row r="2107">
      <c r="A2107" s="5">
        <v>2106.0</v>
      </c>
      <c r="B2107" s="5" t="s">
        <v>2600</v>
      </c>
      <c r="C2107" s="5" t="s">
        <v>249</v>
      </c>
      <c r="D2107" s="6">
        <f>IFERROR(__xludf.DUMMYFUNCTION("SPLIT(MID(C2107,2,LEN(C2107)-2), "","")"),593.0)</f>
        <v>593</v>
      </c>
      <c r="E2107" s="7"/>
      <c r="F2107" s="7"/>
      <c r="G2107" s="2" t="str">
        <f t="array" ref="G2107">IF(ISBLANK(D2107), "", INDEX(Categories!$B:$B,MATCH(D2107,Categories!$A:$A,0)))</f>
        <v>Ice Cream &amp; Frozen Desserts Dealers</v>
      </c>
      <c r="H2107" s="7" t="str">
        <f t="array" ref="H2107">IF(ISBLANK(E2107), "", INDEX(Categories!$B:$B,MATCH(E2107,Categories!$A:$A,0)))</f>
        <v/>
      </c>
      <c r="I2107" s="7" t="str">
        <f t="array" ref="I2107">IF(ISBLANK(F2107), "", INDEX(Categories!$B:$B,MATCH(F2107,Categories!$A:$A,0)))</f>
        <v/>
      </c>
      <c r="J2107" s="4"/>
      <c r="K2107" s="4"/>
      <c r="L2107" s="4"/>
      <c r="M2107" s="4"/>
      <c r="N2107" s="4"/>
      <c r="O2107" s="4"/>
      <c r="P2107" s="4"/>
      <c r="Q2107" s="4"/>
    </row>
    <row r="2108">
      <c r="A2108" s="5">
        <v>2107.0</v>
      </c>
      <c r="B2108" s="5" t="s">
        <v>2601</v>
      </c>
      <c r="C2108" s="5" t="s">
        <v>733</v>
      </c>
      <c r="D2108" s="6">
        <f>IFERROR(__xludf.DUMMYFUNCTION("SPLIT(MID(C2108,2,LEN(C2108)-2), "","")"),576.0)</f>
        <v>576</v>
      </c>
      <c r="E2108" s="7"/>
      <c r="F2108" s="7"/>
      <c r="G2108" s="2" t="str">
        <f t="array" ref="G2108">IF(ISBLANK(D2108), "", INDEX(Categories!$B:$B,MATCH(D2108,Categories!$A:$A,0)))</f>
        <v>Candy &amp; Confectionery Retail</v>
      </c>
      <c r="H2108" s="7" t="str">
        <f t="array" ref="H2108">IF(ISBLANK(E2108), "", INDEX(Categories!$B:$B,MATCH(E2108,Categories!$A:$A,0)))</f>
        <v/>
      </c>
      <c r="I2108" s="7" t="str">
        <f t="array" ref="I2108">IF(ISBLANK(F2108), "", INDEX(Categories!$B:$B,MATCH(F2108,Categories!$A:$A,0)))</f>
        <v/>
      </c>
      <c r="J2108" s="4"/>
      <c r="K2108" s="4"/>
      <c r="L2108" s="4"/>
      <c r="M2108" s="4"/>
      <c r="N2108" s="4"/>
      <c r="O2108" s="4"/>
      <c r="P2108" s="4"/>
      <c r="Q2108" s="4"/>
    </row>
    <row r="2109">
      <c r="A2109" s="5">
        <v>2108.0</v>
      </c>
      <c r="B2109" s="5" t="s">
        <v>2602</v>
      </c>
      <c r="C2109" s="5" t="s">
        <v>10</v>
      </c>
      <c r="D2109" s="6">
        <f>IFERROR(__xludf.DUMMYFUNCTION("SPLIT(MID(C2109,2,LEN(C2109)-2), "","")"),1168.0)</f>
        <v>1168</v>
      </c>
      <c r="E2109" s="7"/>
      <c r="F2109" s="7"/>
      <c r="G2109" s="2" t="str">
        <f t="array" ref="G2109">IF(ISBLANK(D2109), "", INDEX(Categories!$B:$B,MATCH(D2109,Categories!$A:$A,0)))</f>
        <v>Convenience Stores</v>
      </c>
      <c r="H2109" s="7" t="str">
        <f t="array" ref="H2109">IF(ISBLANK(E2109), "", INDEX(Categories!$B:$B,MATCH(E2109,Categories!$A:$A,0)))</f>
        <v/>
      </c>
      <c r="I2109" s="7" t="str">
        <f t="array" ref="I2109">IF(ISBLANK(F2109), "", INDEX(Categories!$B:$B,MATCH(F2109,Categories!$A:$A,0)))</f>
        <v/>
      </c>
      <c r="J2109" s="4"/>
      <c r="K2109" s="4"/>
      <c r="L2109" s="4"/>
      <c r="M2109" s="4"/>
      <c r="N2109" s="4"/>
      <c r="O2109" s="4"/>
      <c r="P2109" s="4"/>
      <c r="Q2109" s="4"/>
    </row>
    <row r="2110">
      <c r="A2110" s="5">
        <v>2109.0</v>
      </c>
      <c r="B2110" s="5" t="s">
        <v>2603</v>
      </c>
      <c r="C2110" s="5" t="s">
        <v>553</v>
      </c>
      <c r="D2110" s="6">
        <f>IFERROR(__xludf.DUMMYFUNCTION("SPLIT(MID(C2110,2,LEN(C2110)-2), "","")"),739.0)</f>
        <v>739</v>
      </c>
      <c r="E2110" s="7"/>
      <c r="F2110" s="7"/>
      <c r="G2110" s="2" t="str">
        <f t="array" ref="G2110">IF(ISBLANK(D2110), "", INDEX(Categories!$B:$B,MATCH(D2110,Categories!$A:$A,0)))</f>
        <v>Shoes &amp; Shoe Repairs</v>
      </c>
      <c r="H2110" s="7" t="str">
        <f t="array" ref="H2110">IF(ISBLANK(E2110), "", INDEX(Categories!$B:$B,MATCH(E2110,Categories!$A:$A,0)))</f>
        <v/>
      </c>
      <c r="I2110" s="7" t="str">
        <f t="array" ref="I2110">IF(ISBLANK(F2110), "", INDEX(Categories!$B:$B,MATCH(F2110,Categories!$A:$A,0)))</f>
        <v/>
      </c>
      <c r="J2110" s="4"/>
      <c r="K2110" s="4"/>
      <c r="L2110" s="4"/>
      <c r="M2110" s="4"/>
      <c r="N2110" s="4"/>
      <c r="O2110" s="4"/>
      <c r="P2110" s="4"/>
      <c r="Q2110" s="4"/>
    </row>
    <row r="2111">
      <c r="A2111" s="5">
        <v>2110.0</v>
      </c>
      <c r="B2111" s="5" t="s">
        <v>2604</v>
      </c>
      <c r="C2111" s="5" t="s">
        <v>274</v>
      </c>
      <c r="D2111" s="6">
        <f>IFERROR(__xludf.DUMMYFUNCTION("SPLIT(MID(C2111,2,LEN(C2111)-2), "","")"),619.0)</f>
        <v>619</v>
      </c>
      <c r="E2111" s="7"/>
      <c r="F2111" s="7"/>
      <c r="G2111" s="2" t="str">
        <f t="array" ref="G2111">IF(ISBLANK(D2111), "", INDEX(Categories!$B:$B,MATCH(D2111,Categories!$A:$A,0)))</f>
        <v>Jewelry</v>
      </c>
      <c r="H2111" s="7" t="str">
        <f t="array" ref="H2111">IF(ISBLANK(E2111), "", INDEX(Categories!$B:$B,MATCH(E2111,Categories!$A:$A,0)))</f>
        <v/>
      </c>
      <c r="I2111" s="7" t="str">
        <f t="array" ref="I2111">IF(ISBLANK(F2111), "", INDEX(Categories!$B:$B,MATCH(F2111,Categories!$A:$A,0)))</f>
        <v/>
      </c>
      <c r="J2111" s="4"/>
      <c r="K2111" s="4"/>
      <c r="L2111" s="4"/>
      <c r="M2111" s="4"/>
      <c r="N2111" s="4"/>
      <c r="O2111" s="4"/>
      <c r="P2111" s="4"/>
      <c r="Q2111" s="4"/>
    </row>
    <row r="2112">
      <c r="A2112" s="5">
        <v>2111.0</v>
      </c>
      <c r="B2112" s="5" t="s">
        <v>2605</v>
      </c>
      <c r="C2112" s="5" t="s">
        <v>62</v>
      </c>
      <c r="D2112" s="6">
        <f>IFERROR(__xludf.DUMMYFUNCTION("SPLIT(MID(C2112,2,LEN(C2112)-2), "","")"),242.0)</f>
        <v>242</v>
      </c>
      <c r="E2112" s="7"/>
      <c r="F2112" s="7"/>
      <c r="G2112" s="2" t="str">
        <f t="array" ref="G2112">IF(ISBLANK(D2112), "", INDEX(Categories!$B:$B,MATCH(D2112,Categories!$A:$A,0)))</f>
        <v>Restaurants Pizza</v>
      </c>
      <c r="H2112" s="7" t="str">
        <f t="array" ref="H2112">IF(ISBLANK(E2112), "", INDEX(Categories!$B:$B,MATCH(E2112,Categories!$A:$A,0)))</f>
        <v/>
      </c>
      <c r="I2112" s="7" t="str">
        <f t="array" ref="I2112">IF(ISBLANK(F2112), "", INDEX(Categories!$B:$B,MATCH(F2112,Categories!$A:$A,0)))</f>
        <v/>
      </c>
      <c r="J2112" s="4"/>
      <c r="K2112" s="4"/>
      <c r="L2112" s="4"/>
      <c r="M2112" s="4"/>
      <c r="N2112" s="4"/>
      <c r="O2112" s="4"/>
      <c r="P2112" s="4"/>
      <c r="Q2112" s="4"/>
    </row>
    <row r="2113">
      <c r="A2113" s="5">
        <v>2112.0</v>
      </c>
      <c r="B2113" s="5" t="s">
        <v>2606</v>
      </c>
      <c r="C2113" s="5" t="s">
        <v>10</v>
      </c>
      <c r="D2113" s="6">
        <f>IFERROR(__xludf.DUMMYFUNCTION("SPLIT(MID(C2113,2,LEN(C2113)-2), "","")"),1168.0)</f>
        <v>1168</v>
      </c>
      <c r="E2113" s="7"/>
      <c r="F2113" s="7"/>
      <c r="G2113" s="2" t="str">
        <f t="array" ref="G2113">IF(ISBLANK(D2113), "", INDEX(Categories!$B:$B,MATCH(D2113,Categories!$A:$A,0)))</f>
        <v>Convenience Stores</v>
      </c>
      <c r="H2113" s="7" t="str">
        <f t="array" ref="H2113">IF(ISBLANK(E2113), "", INDEX(Categories!$B:$B,MATCH(E2113,Categories!$A:$A,0)))</f>
        <v/>
      </c>
      <c r="I2113" s="7" t="str">
        <f t="array" ref="I2113">IF(ISBLANK(F2113), "", INDEX(Categories!$B:$B,MATCH(F2113,Categories!$A:$A,0)))</f>
        <v/>
      </c>
      <c r="J2113" s="4"/>
      <c r="K2113" s="4"/>
      <c r="L2113" s="4"/>
      <c r="M2113" s="4"/>
      <c r="N2113" s="4"/>
      <c r="O2113" s="4"/>
      <c r="P2113" s="4"/>
      <c r="Q2113" s="4"/>
    </row>
    <row r="2114">
      <c r="A2114" s="5">
        <v>2113.0</v>
      </c>
      <c r="B2114" s="5" t="s">
        <v>2607</v>
      </c>
      <c r="C2114" s="5" t="s">
        <v>1084</v>
      </c>
      <c r="D2114" s="6">
        <f>IFERROR(__xludf.DUMMYFUNCTION("SPLIT(MID(C2114,2,LEN(C2114)-2), "","")"),229.0)</f>
        <v>229</v>
      </c>
      <c r="E2114" s="7"/>
      <c r="F2114" s="7"/>
      <c r="G2114" s="2" t="str">
        <f t="array" ref="G2114">IF(ISBLANK(D2114), "", INDEX(Categories!$B:$B,MATCH(D2114,Categories!$A:$A,0)))</f>
        <v>Cafes</v>
      </c>
      <c r="H2114" s="7" t="str">
        <f t="array" ref="H2114">IF(ISBLANK(E2114), "", INDEX(Categories!$B:$B,MATCH(E2114,Categories!$A:$A,0)))</f>
        <v/>
      </c>
      <c r="I2114" s="7" t="str">
        <f t="array" ref="I2114">IF(ISBLANK(F2114), "", INDEX(Categories!$B:$B,MATCH(F2114,Categories!$A:$A,0)))</f>
        <v/>
      </c>
      <c r="J2114" s="4"/>
      <c r="K2114" s="4"/>
      <c r="L2114" s="4"/>
      <c r="M2114" s="4"/>
      <c r="N2114" s="4"/>
      <c r="O2114" s="4"/>
      <c r="P2114" s="4"/>
      <c r="Q2114" s="4"/>
    </row>
    <row r="2115">
      <c r="A2115" s="5">
        <v>2114.0</v>
      </c>
      <c r="B2115" s="5" t="s">
        <v>2608</v>
      </c>
      <c r="C2115" s="5" t="s">
        <v>2609</v>
      </c>
      <c r="D2115" s="6">
        <f>IFERROR(__xludf.DUMMYFUNCTION("SPLIT(MID(C2115,2,LEN(C2115)-2), "","")"),457.0)</f>
        <v>457</v>
      </c>
      <c r="E2115" s="7"/>
      <c r="F2115" s="7"/>
      <c r="G2115" s="2" t="str">
        <f t="array" ref="G2115">IF(ISBLANK(D2115), "", INDEX(Categories!$B:$B,MATCH(D2115,Categories!$A:$A,0)))</f>
        <v>Theaters Movie</v>
      </c>
      <c r="H2115" s="7" t="str">
        <f t="array" ref="H2115">IF(ISBLANK(E2115), "", INDEX(Categories!$B:$B,MATCH(E2115,Categories!$A:$A,0)))</f>
        <v/>
      </c>
      <c r="I2115" s="7" t="str">
        <f t="array" ref="I2115">IF(ISBLANK(F2115), "", INDEX(Categories!$B:$B,MATCH(F2115,Categories!$A:$A,0)))</f>
        <v/>
      </c>
      <c r="J2115" s="4"/>
      <c r="K2115" s="4"/>
      <c r="L2115" s="4"/>
      <c r="M2115" s="4"/>
      <c r="N2115" s="4"/>
      <c r="O2115" s="4"/>
      <c r="P2115" s="4"/>
      <c r="Q2115" s="4"/>
    </row>
    <row r="2116">
      <c r="A2116" s="5">
        <v>2115.0</v>
      </c>
      <c r="B2116" s="5" t="s">
        <v>2610</v>
      </c>
      <c r="C2116" s="5" t="s">
        <v>34</v>
      </c>
      <c r="D2116" s="6">
        <f>IFERROR(__xludf.DUMMYFUNCTION("SPLIT(MID(C2116,2,LEN(C2116)-2), "","")"),228.0)</f>
        <v>228</v>
      </c>
      <c r="E2116" s="7"/>
      <c r="F2116" s="7"/>
      <c r="G2116" s="2" t="str">
        <f t="array" ref="G2116">IF(ISBLANK(D2116), "", INDEX(Categories!$B:$B,MATCH(D2116,Categories!$A:$A,0)))</f>
        <v>Restaurants</v>
      </c>
      <c r="H2116" s="7" t="str">
        <f t="array" ref="H2116">IF(ISBLANK(E2116), "", INDEX(Categories!$B:$B,MATCH(E2116,Categories!$A:$A,0)))</f>
        <v/>
      </c>
      <c r="I2116" s="7" t="str">
        <f t="array" ref="I2116">IF(ISBLANK(F2116), "", INDEX(Categories!$B:$B,MATCH(F2116,Categories!$A:$A,0)))</f>
        <v/>
      </c>
      <c r="J2116" s="4"/>
      <c r="K2116" s="4"/>
      <c r="L2116" s="4"/>
      <c r="M2116" s="4"/>
      <c r="N2116" s="4"/>
      <c r="O2116" s="4"/>
      <c r="P2116" s="4"/>
      <c r="Q2116" s="4"/>
    </row>
    <row r="2117">
      <c r="A2117" s="5">
        <v>2116.0</v>
      </c>
      <c r="B2117" s="5" t="s">
        <v>2611</v>
      </c>
      <c r="C2117" s="5" t="s">
        <v>96</v>
      </c>
      <c r="D2117" s="6">
        <f>IFERROR(__xludf.DUMMYFUNCTION("SPLIT(MID(C2117,2,LEN(C2117)-2), "","")"),572.0)</f>
        <v>572</v>
      </c>
      <c r="E2117" s="7"/>
      <c r="F2117" s="7"/>
      <c r="G2117" s="2" t="str">
        <f t="array" ref="G2117">IF(ISBLANK(D2117), "", INDEX(Categories!$B:$B,MATCH(D2117,Categories!$A:$A,0)))</f>
        <v>Groceries</v>
      </c>
      <c r="H2117" s="7" t="str">
        <f t="array" ref="H2117">IF(ISBLANK(E2117), "", INDEX(Categories!$B:$B,MATCH(E2117,Categories!$A:$A,0)))</f>
        <v/>
      </c>
      <c r="I2117" s="7" t="str">
        <f t="array" ref="I2117">IF(ISBLANK(F2117), "", INDEX(Categories!$B:$B,MATCH(F2117,Categories!$A:$A,0)))</f>
        <v/>
      </c>
      <c r="J2117" s="4"/>
      <c r="K2117" s="4"/>
      <c r="L2117" s="4"/>
      <c r="M2117" s="4"/>
      <c r="N2117" s="4"/>
      <c r="O2117" s="4"/>
      <c r="P2117" s="4"/>
      <c r="Q2117" s="4"/>
    </row>
    <row r="2118">
      <c r="A2118" s="5">
        <v>2117.0</v>
      </c>
      <c r="B2118" s="5" t="s">
        <v>2612</v>
      </c>
      <c r="C2118" s="5" t="s">
        <v>2613</v>
      </c>
      <c r="D2118" s="6">
        <f>IFERROR(__xludf.DUMMYFUNCTION("SPLIT(MID(C2118,2,LEN(C2118)-2), "","")"),704.0)</f>
        <v>704</v>
      </c>
      <c r="E2118" s="7"/>
      <c r="F2118" s="7"/>
      <c r="G2118" s="2" t="str">
        <f t="array" ref="G2118">IF(ISBLANK(D2118), "", INDEX(Categories!$B:$B,MATCH(D2118,Categories!$A:$A,0)))</f>
        <v>Bowling</v>
      </c>
      <c r="H2118" s="7" t="str">
        <f t="array" ref="H2118">IF(ISBLANK(E2118), "", INDEX(Categories!$B:$B,MATCH(E2118,Categories!$A:$A,0)))</f>
        <v/>
      </c>
      <c r="I2118" s="7" t="str">
        <f t="array" ref="I2118">IF(ISBLANK(F2118), "", INDEX(Categories!$B:$B,MATCH(F2118,Categories!$A:$A,0)))</f>
        <v/>
      </c>
      <c r="J2118" s="4"/>
      <c r="K2118" s="4"/>
      <c r="L2118" s="4"/>
      <c r="M2118" s="4"/>
      <c r="N2118" s="4"/>
      <c r="O2118" s="4"/>
      <c r="P2118" s="4"/>
      <c r="Q2118" s="4"/>
    </row>
    <row r="2119">
      <c r="A2119" s="5">
        <v>2118.0</v>
      </c>
      <c r="B2119" s="5" t="s">
        <v>2614</v>
      </c>
      <c r="C2119" s="5" t="s">
        <v>2615</v>
      </c>
      <c r="D2119" s="6">
        <f>IFERROR(__xludf.DUMMYFUNCTION("SPLIT(MID(C2119,2,LEN(C2119)-2), "","")"),2759.0)</f>
        <v>2759</v>
      </c>
      <c r="E2119" s="7"/>
      <c r="F2119" s="7"/>
      <c r="G2119" s="2" t="str">
        <f t="array" ref="G2119">IF(ISBLANK(D2119), "", INDEX(Categories!$B:$B,MATCH(D2119,Categories!$A:$A,0)))</f>
        <v>Business Management Services</v>
      </c>
      <c r="H2119" s="7" t="str">
        <f t="array" ref="H2119">IF(ISBLANK(E2119), "", INDEX(Categories!$B:$B,MATCH(E2119,Categories!$A:$A,0)))</f>
        <v/>
      </c>
      <c r="I2119" s="7" t="str">
        <f t="array" ref="I2119">IF(ISBLANK(F2119), "", INDEX(Categories!$B:$B,MATCH(F2119,Categories!$A:$A,0)))</f>
        <v/>
      </c>
      <c r="J2119" s="4"/>
      <c r="K2119" s="4"/>
      <c r="L2119" s="4"/>
      <c r="M2119" s="4"/>
      <c r="N2119" s="4"/>
      <c r="O2119" s="4"/>
      <c r="P2119" s="4"/>
      <c r="Q2119" s="4"/>
    </row>
    <row r="2120">
      <c r="A2120" s="5">
        <v>2119.0</v>
      </c>
      <c r="B2120" s="5" t="s">
        <v>2616</v>
      </c>
      <c r="C2120" s="5" t="s">
        <v>346</v>
      </c>
      <c r="D2120" s="6">
        <f>IFERROR(__xludf.DUMMYFUNCTION("SPLIT(MID(C2120,2,LEN(C2120)-2), "","")"),610.0)</f>
        <v>610</v>
      </c>
      <c r="E2120" s="7"/>
      <c r="F2120" s="7"/>
      <c r="G2120" s="2" t="str">
        <f t="array" ref="G2120">IF(ISBLANK(D2120), "", INDEX(Categories!$B:$B,MATCH(D2120,Categories!$A:$A,0)))</f>
        <v>Supermarkets &amp; Super Stores</v>
      </c>
      <c r="H2120" s="7" t="str">
        <f t="array" ref="H2120">IF(ISBLANK(E2120), "", INDEX(Categories!$B:$B,MATCH(E2120,Categories!$A:$A,0)))</f>
        <v/>
      </c>
      <c r="I2120" s="7" t="str">
        <f t="array" ref="I2120">IF(ISBLANK(F2120), "", INDEX(Categories!$B:$B,MATCH(F2120,Categories!$A:$A,0)))</f>
        <v/>
      </c>
      <c r="J2120" s="4"/>
      <c r="K2120" s="4"/>
      <c r="L2120" s="4"/>
      <c r="M2120" s="4"/>
      <c r="N2120" s="4"/>
      <c r="O2120" s="4"/>
      <c r="P2120" s="4"/>
      <c r="Q2120" s="4"/>
    </row>
    <row r="2121">
      <c r="A2121" s="5">
        <v>2120.0</v>
      </c>
      <c r="B2121" s="5" t="s">
        <v>2617</v>
      </c>
      <c r="C2121" s="5" t="s">
        <v>2618</v>
      </c>
      <c r="D2121" s="6">
        <f>IFERROR(__xludf.DUMMYFUNCTION("SPLIT(MID(C2121,2,LEN(C2121)-2), "","")"),2824.0)</f>
        <v>2824</v>
      </c>
      <c r="E2121" s="7"/>
      <c r="F2121" s="7"/>
      <c r="G2121" s="2" t="str">
        <f t="array" ref="G2121">IF(ISBLANK(D2121), "", INDEX(Categories!$B:$B,MATCH(D2121,Categories!$A:$A,0)))</f>
        <v>Arcades</v>
      </c>
      <c r="H2121" s="7" t="str">
        <f t="array" ref="H2121">IF(ISBLANK(E2121), "", INDEX(Categories!$B:$B,MATCH(E2121,Categories!$A:$A,0)))</f>
        <v/>
      </c>
      <c r="I2121" s="7" t="str">
        <f t="array" ref="I2121">IF(ISBLANK(F2121), "", INDEX(Categories!$B:$B,MATCH(F2121,Categories!$A:$A,0)))</f>
        <v/>
      </c>
      <c r="J2121" s="4"/>
      <c r="K2121" s="4"/>
      <c r="L2121" s="4"/>
      <c r="M2121" s="4"/>
      <c r="N2121" s="4"/>
      <c r="O2121" s="4"/>
      <c r="P2121" s="4"/>
      <c r="Q2121" s="4"/>
    </row>
    <row r="2122">
      <c r="A2122" s="5">
        <v>2121.0</v>
      </c>
      <c r="B2122" s="5" t="s">
        <v>2619</v>
      </c>
      <c r="C2122" s="5" t="s">
        <v>626</v>
      </c>
      <c r="D2122" s="6">
        <f>IFERROR(__xludf.DUMMYFUNCTION("SPLIT(MID(C2122,2,LEN(C2122)-2), "","")"),1247.0)</f>
        <v>1247</v>
      </c>
      <c r="E2122" s="7"/>
      <c r="F2122" s="7"/>
      <c r="G2122" s="2" t="str">
        <f t="array" ref="G2122">IF(ISBLANK(D2122), "", INDEX(Categories!$B:$B,MATCH(D2122,Categories!$A:$A,0)))</f>
        <v>Clothing Children &amp; Infant</v>
      </c>
      <c r="H2122" s="7" t="str">
        <f t="array" ref="H2122">IF(ISBLANK(E2122), "", INDEX(Categories!$B:$B,MATCH(E2122,Categories!$A:$A,0)))</f>
        <v/>
      </c>
      <c r="I2122" s="7" t="str">
        <f t="array" ref="I2122">IF(ISBLANK(F2122), "", INDEX(Categories!$B:$B,MATCH(F2122,Categories!$A:$A,0)))</f>
        <v/>
      </c>
      <c r="J2122" s="4"/>
      <c r="K2122" s="4"/>
      <c r="L2122" s="4"/>
      <c r="M2122" s="4"/>
      <c r="N2122" s="4"/>
      <c r="O2122" s="4"/>
      <c r="P2122" s="4"/>
      <c r="Q2122" s="4"/>
    </row>
    <row r="2123">
      <c r="A2123" s="5">
        <v>2122.0</v>
      </c>
      <c r="B2123" s="5" t="s">
        <v>2620</v>
      </c>
      <c r="C2123" s="5" t="s">
        <v>107</v>
      </c>
      <c r="D2123" s="6">
        <f>IFERROR(__xludf.DUMMYFUNCTION("SPLIT(MID(C2123,2,LEN(C2123)-2), "","")"),760.0)</f>
        <v>760</v>
      </c>
      <c r="E2123" s="7"/>
      <c r="F2123" s="7"/>
      <c r="G2123" s="2" t="str">
        <f t="array" ref="G2123">IF(ISBLANK(D2123), "", INDEX(Categories!$B:$B,MATCH(D2123,Categories!$A:$A,0)))</f>
        <v>Discount Stores</v>
      </c>
      <c r="H2123" s="7" t="str">
        <f t="array" ref="H2123">IF(ISBLANK(E2123), "", INDEX(Categories!$B:$B,MATCH(E2123,Categories!$A:$A,0)))</f>
        <v/>
      </c>
      <c r="I2123" s="7" t="str">
        <f t="array" ref="I2123">IF(ISBLANK(F2123), "", INDEX(Categories!$B:$B,MATCH(F2123,Categories!$A:$A,0)))</f>
        <v/>
      </c>
      <c r="J2123" s="4"/>
      <c r="K2123" s="4"/>
      <c r="L2123" s="4"/>
      <c r="M2123" s="4"/>
      <c r="N2123" s="4"/>
      <c r="O2123" s="4"/>
      <c r="P2123" s="4"/>
      <c r="Q2123" s="4"/>
    </row>
    <row r="2124">
      <c r="A2124" s="5">
        <v>2123.0</v>
      </c>
      <c r="B2124" s="5" t="s">
        <v>2621</v>
      </c>
      <c r="C2124" s="5" t="s">
        <v>1242</v>
      </c>
      <c r="D2124" s="6">
        <f>IFERROR(__xludf.DUMMYFUNCTION("SPLIT(MID(C2124,2,LEN(C2124)-2), "","")"),554.0)</f>
        <v>554</v>
      </c>
      <c r="E2124" s="7"/>
      <c r="F2124" s="7"/>
      <c r="G2124" s="2" t="str">
        <f t="array" ref="G2124">IF(ISBLANK(D2124), "", INDEX(Categories!$B:$B,MATCH(D2124,Categories!$A:$A,0)))</f>
        <v>Wigs &amp; Hair Pieces</v>
      </c>
      <c r="H2124" s="7" t="str">
        <f t="array" ref="H2124">IF(ISBLANK(E2124), "", INDEX(Categories!$B:$B,MATCH(E2124,Categories!$A:$A,0)))</f>
        <v/>
      </c>
      <c r="I2124" s="7" t="str">
        <f t="array" ref="I2124">IF(ISBLANK(F2124), "", INDEX(Categories!$B:$B,MATCH(F2124,Categories!$A:$A,0)))</f>
        <v/>
      </c>
      <c r="J2124" s="4"/>
      <c r="K2124" s="4"/>
      <c r="L2124" s="4"/>
      <c r="M2124" s="4"/>
      <c r="N2124" s="4"/>
      <c r="O2124" s="4"/>
      <c r="P2124" s="4"/>
      <c r="Q2124" s="4"/>
    </row>
    <row r="2125">
      <c r="A2125" s="5">
        <v>2124.0</v>
      </c>
      <c r="B2125" s="5" t="s">
        <v>2622</v>
      </c>
      <c r="C2125" s="5" t="s">
        <v>115</v>
      </c>
      <c r="D2125" s="6">
        <f>IFERROR(__xludf.DUMMYFUNCTION("SPLIT(MID(C2125,2,LEN(C2125)-2), "","")"),1272.0)</f>
        <v>1272</v>
      </c>
      <c r="E2125" s="7"/>
      <c r="F2125" s="7"/>
      <c r="G2125" s="2" t="str">
        <f t="array" ref="G2125">IF(ISBLANK(D2125), "", INDEX(Categories!$B:$B,MATCH(D2125,Categories!$A:$A,0)))</f>
        <v>Womens Apparel</v>
      </c>
      <c r="H2125" s="7" t="str">
        <f t="array" ref="H2125">IF(ISBLANK(E2125), "", INDEX(Categories!$B:$B,MATCH(E2125,Categories!$A:$A,0)))</f>
        <v/>
      </c>
      <c r="I2125" s="7" t="str">
        <f t="array" ref="I2125">IF(ISBLANK(F2125), "", INDEX(Categories!$B:$B,MATCH(F2125,Categories!$A:$A,0)))</f>
        <v/>
      </c>
      <c r="J2125" s="4"/>
      <c r="K2125" s="4"/>
      <c r="L2125" s="4"/>
      <c r="M2125" s="4"/>
      <c r="N2125" s="4"/>
      <c r="O2125" s="4"/>
      <c r="P2125" s="4"/>
      <c r="Q2125" s="4"/>
    </row>
    <row r="2126">
      <c r="A2126" s="5">
        <v>2125.0</v>
      </c>
      <c r="B2126" s="5" t="s">
        <v>2623</v>
      </c>
      <c r="C2126" s="5" t="s">
        <v>2502</v>
      </c>
      <c r="D2126" s="6">
        <f>IFERROR(__xludf.DUMMYFUNCTION("SPLIT(MID(C2126,2,LEN(C2126)-2), "","")"),1099.0)</f>
        <v>1099</v>
      </c>
      <c r="E2126" s="7"/>
      <c r="F2126" s="7"/>
      <c r="G2126" s="2" t="str">
        <f t="array" ref="G2126">IF(ISBLANK(D2126), "", INDEX(Categories!$B:$B,MATCH(D2126,Categories!$A:$A,0)))</f>
        <v>Bars, Taverns &amp; Cocktail Lounges</v>
      </c>
      <c r="H2126" s="7" t="str">
        <f t="array" ref="H2126">IF(ISBLANK(E2126), "", INDEX(Categories!$B:$B,MATCH(E2126,Categories!$A:$A,0)))</f>
        <v/>
      </c>
      <c r="I2126" s="7" t="str">
        <f t="array" ref="I2126">IF(ISBLANK(F2126), "", INDEX(Categories!$B:$B,MATCH(F2126,Categories!$A:$A,0)))</f>
        <v/>
      </c>
      <c r="J2126" s="4"/>
      <c r="K2126" s="4"/>
      <c r="L2126" s="4"/>
      <c r="M2126" s="4"/>
      <c r="N2126" s="4"/>
      <c r="O2126" s="4"/>
      <c r="P2126" s="4"/>
      <c r="Q2126" s="4"/>
    </row>
    <row r="2127">
      <c r="A2127" s="5">
        <v>2126.0</v>
      </c>
      <c r="B2127" s="5" t="s">
        <v>2624</v>
      </c>
      <c r="C2127" s="5" t="s">
        <v>139</v>
      </c>
      <c r="D2127" s="6">
        <f>IFERROR(__xludf.DUMMYFUNCTION("SPLIT(MID(C2127,2,LEN(C2127)-2), "","")"),1617.0)</f>
        <v>1617</v>
      </c>
      <c r="E2127" s="7"/>
      <c r="F2127" s="7"/>
      <c r="G2127" s="2" t="str">
        <f t="array" ref="G2127">IF(ISBLANK(D2127), "", INDEX(Categories!$B:$B,MATCH(D2127,Categories!$A:$A,0)))</f>
        <v>Department Stores</v>
      </c>
      <c r="H2127" s="7" t="str">
        <f t="array" ref="H2127">IF(ISBLANK(E2127), "", INDEX(Categories!$B:$B,MATCH(E2127,Categories!$A:$A,0)))</f>
        <v/>
      </c>
      <c r="I2127" s="7" t="str">
        <f t="array" ref="I2127">IF(ISBLANK(F2127), "", INDEX(Categories!$B:$B,MATCH(F2127,Categories!$A:$A,0)))</f>
        <v/>
      </c>
      <c r="J2127" s="4"/>
      <c r="K2127" s="4"/>
      <c r="L2127" s="4"/>
      <c r="M2127" s="4"/>
      <c r="N2127" s="4"/>
      <c r="O2127" s="4"/>
      <c r="P2127" s="4"/>
      <c r="Q2127" s="4"/>
    </row>
    <row r="2128">
      <c r="A2128" s="5">
        <v>2127.0</v>
      </c>
      <c r="B2128" s="5" t="s">
        <v>2625</v>
      </c>
      <c r="C2128" s="5" t="s">
        <v>121</v>
      </c>
      <c r="D2128" s="6">
        <f>IFERROR(__xludf.DUMMYFUNCTION("SPLIT(MID(C2128,2,LEN(C2128)-2), "","")"),1261.0)</f>
        <v>1261</v>
      </c>
      <c r="E2128" s="7"/>
      <c r="F2128" s="7"/>
      <c r="G2128" s="2" t="str">
        <f t="array" ref="G2128">IF(ISBLANK(D2128), "", INDEX(Categories!$B:$B,MATCH(D2128,Categories!$A:$A,0)))</f>
        <v>Mens Clothing &amp; Furnishings</v>
      </c>
      <c r="H2128" s="7" t="str">
        <f t="array" ref="H2128">IF(ISBLANK(E2128), "", INDEX(Categories!$B:$B,MATCH(E2128,Categories!$A:$A,0)))</f>
        <v/>
      </c>
      <c r="I2128" s="7" t="str">
        <f t="array" ref="I2128">IF(ISBLANK(F2128), "", INDEX(Categories!$B:$B,MATCH(F2128,Categories!$A:$A,0)))</f>
        <v/>
      </c>
      <c r="J2128" s="4"/>
      <c r="K2128" s="4"/>
      <c r="L2128" s="4"/>
      <c r="M2128" s="4"/>
      <c r="N2128" s="4"/>
      <c r="O2128" s="4"/>
      <c r="P2128" s="4"/>
      <c r="Q2128" s="4"/>
    </row>
    <row r="2129">
      <c r="A2129" s="5">
        <v>2128.0</v>
      </c>
      <c r="B2129" s="5" t="s">
        <v>2626</v>
      </c>
      <c r="C2129" s="5" t="s">
        <v>553</v>
      </c>
      <c r="D2129" s="6">
        <f>IFERROR(__xludf.DUMMYFUNCTION("SPLIT(MID(C2129,2,LEN(C2129)-2), "","")"),739.0)</f>
        <v>739</v>
      </c>
      <c r="E2129" s="7"/>
      <c r="F2129" s="7"/>
      <c r="G2129" s="2" t="str">
        <f t="array" ref="G2129">IF(ISBLANK(D2129), "", INDEX(Categories!$B:$B,MATCH(D2129,Categories!$A:$A,0)))</f>
        <v>Shoes &amp; Shoe Repairs</v>
      </c>
      <c r="H2129" s="7" t="str">
        <f t="array" ref="H2129">IF(ISBLANK(E2129), "", INDEX(Categories!$B:$B,MATCH(E2129,Categories!$A:$A,0)))</f>
        <v/>
      </c>
      <c r="I2129" s="7" t="str">
        <f t="array" ref="I2129">IF(ISBLANK(F2129), "", INDEX(Categories!$B:$B,MATCH(F2129,Categories!$A:$A,0)))</f>
        <v/>
      </c>
      <c r="J2129" s="4"/>
      <c r="K2129" s="4"/>
      <c r="L2129" s="4"/>
      <c r="M2129" s="4"/>
      <c r="N2129" s="4"/>
      <c r="O2129" s="4"/>
      <c r="P2129" s="4"/>
      <c r="Q2129" s="4"/>
    </row>
    <row r="2130">
      <c r="A2130" s="5">
        <v>2129.0</v>
      </c>
      <c r="B2130" s="5" t="s">
        <v>2627</v>
      </c>
      <c r="C2130" s="5" t="s">
        <v>553</v>
      </c>
      <c r="D2130" s="6">
        <f>IFERROR(__xludf.DUMMYFUNCTION("SPLIT(MID(C2130,2,LEN(C2130)-2), "","")"),739.0)</f>
        <v>739</v>
      </c>
      <c r="E2130" s="7"/>
      <c r="F2130" s="7"/>
      <c r="G2130" s="2" t="str">
        <f t="array" ref="G2130">IF(ISBLANK(D2130), "", INDEX(Categories!$B:$B,MATCH(D2130,Categories!$A:$A,0)))</f>
        <v>Shoes &amp; Shoe Repairs</v>
      </c>
      <c r="H2130" s="7" t="str">
        <f t="array" ref="H2130">IF(ISBLANK(E2130), "", INDEX(Categories!$B:$B,MATCH(E2130,Categories!$A:$A,0)))</f>
        <v/>
      </c>
      <c r="I2130" s="7" t="str">
        <f t="array" ref="I2130">IF(ISBLANK(F2130), "", INDEX(Categories!$B:$B,MATCH(F2130,Categories!$A:$A,0)))</f>
        <v/>
      </c>
      <c r="J2130" s="4"/>
      <c r="K2130" s="4"/>
      <c r="L2130" s="4"/>
      <c r="M2130" s="4"/>
      <c r="N2130" s="4"/>
      <c r="O2130" s="4"/>
      <c r="P2130" s="4"/>
      <c r="Q2130" s="4"/>
    </row>
    <row r="2131">
      <c r="A2131" s="5">
        <v>2130.0</v>
      </c>
      <c r="B2131" s="5" t="s">
        <v>2628</v>
      </c>
      <c r="C2131" s="5" t="s">
        <v>115</v>
      </c>
      <c r="D2131" s="6">
        <f>IFERROR(__xludf.DUMMYFUNCTION("SPLIT(MID(C2131,2,LEN(C2131)-2), "","")"),1272.0)</f>
        <v>1272</v>
      </c>
      <c r="E2131" s="7"/>
      <c r="F2131" s="7"/>
      <c r="G2131" s="2" t="str">
        <f t="array" ref="G2131">IF(ISBLANK(D2131), "", INDEX(Categories!$B:$B,MATCH(D2131,Categories!$A:$A,0)))</f>
        <v>Womens Apparel</v>
      </c>
      <c r="H2131" s="7" t="str">
        <f t="array" ref="H2131">IF(ISBLANK(E2131), "", INDEX(Categories!$B:$B,MATCH(E2131,Categories!$A:$A,0)))</f>
        <v/>
      </c>
      <c r="I2131" s="7" t="str">
        <f t="array" ref="I2131">IF(ISBLANK(F2131), "", INDEX(Categories!$B:$B,MATCH(F2131,Categories!$A:$A,0)))</f>
        <v/>
      </c>
      <c r="J2131" s="4"/>
      <c r="K2131" s="4"/>
      <c r="L2131" s="4"/>
      <c r="M2131" s="4"/>
      <c r="N2131" s="4"/>
      <c r="O2131" s="4"/>
      <c r="P2131" s="4"/>
      <c r="Q2131" s="4"/>
    </row>
    <row r="2132">
      <c r="A2132" s="5">
        <v>2131.0</v>
      </c>
      <c r="B2132" s="5" t="s">
        <v>2629</v>
      </c>
      <c r="C2132" s="5" t="s">
        <v>346</v>
      </c>
      <c r="D2132" s="6">
        <f>IFERROR(__xludf.DUMMYFUNCTION("SPLIT(MID(C2132,2,LEN(C2132)-2), "","")"),610.0)</f>
        <v>610</v>
      </c>
      <c r="E2132" s="7"/>
      <c r="F2132" s="7"/>
      <c r="G2132" s="2" t="str">
        <f t="array" ref="G2132">IF(ISBLANK(D2132), "", INDEX(Categories!$B:$B,MATCH(D2132,Categories!$A:$A,0)))</f>
        <v>Supermarkets &amp; Super Stores</v>
      </c>
      <c r="H2132" s="7" t="str">
        <f t="array" ref="H2132">IF(ISBLANK(E2132), "", INDEX(Categories!$B:$B,MATCH(E2132,Categories!$A:$A,0)))</f>
        <v/>
      </c>
      <c r="I2132" s="7" t="str">
        <f t="array" ref="I2132">IF(ISBLANK(F2132), "", INDEX(Categories!$B:$B,MATCH(F2132,Categories!$A:$A,0)))</f>
        <v/>
      </c>
      <c r="J2132" s="4"/>
      <c r="K2132" s="4"/>
      <c r="L2132" s="4"/>
      <c r="M2132" s="4"/>
      <c r="N2132" s="4"/>
      <c r="O2132" s="4"/>
      <c r="P2132" s="4"/>
      <c r="Q2132" s="4"/>
    </row>
    <row r="2133">
      <c r="A2133" s="5">
        <v>2132.0</v>
      </c>
      <c r="B2133" s="5" t="s">
        <v>2630</v>
      </c>
      <c r="C2133" s="5" t="s">
        <v>1674</v>
      </c>
      <c r="D2133" s="6">
        <f>IFERROR(__xludf.DUMMYFUNCTION("SPLIT(MID(C2133,2,LEN(C2133)-2), "","")"),2597.0)</f>
        <v>2597</v>
      </c>
      <c r="E2133" s="7"/>
      <c r="F2133" s="7"/>
      <c r="G2133" s="2" t="str">
        <f t="array" ref="G2133">IF(ISBLANK(D2133), "", INDEX(Categories!$B:$B,MATCH(D2133,Categories!$A:$A,0)))</f>
        <v>Exercise &amp; Physical Fitness Programs</v>
      </c>
      <c r="H2133" s="7" t="str">
        <f t="array" ref="H2133">IF(ISBLANK(E2133), "", INDEX(Categories!$B:$B,MATCH(E2133,Categories!$A:$A,0)))</f>
        <v/>
      </c>
      <c r="I2133" s="7" t="str">
        <f t="array" ref="I2133">IF(ISBLANK(F2133), "", INDEX(Categories!$B:$B,MATCH(F2133,Categories!$A:$A,0)))</f>
        <v/>
      </c>
      <c r="J2133" s="4"/>
      <c r="K2133" s="4"/>
      <c r="L2133" s="4"/>
      <c r="M2133" s="4"/>
      <c r="N2133" s="4"/>
      <c r="O2133" s="4"/>
      <c r="P2133" s="4"/>
      <c r="Q2133" s="4"/>
    </row>
    <row r="2134">
      <c r="A2134" s="5">
        <v>2133.0</v>
      </c>
      <c r="B2134" s="5" t="s">
        <v>2631</v>
      </c>
      <c r="C2134" s="5" t="s">
        <v>2494</v>
      </c>
      <c r="D2134" s="6">
        <f>IFERROR(__xludf.DUMMYFUNCTION("SPLIT(MID(C2134,2,LEN(C2134)-2), "","")"),542.0)</f>
        <v>542</v>
      </c>
      <c r="E2134" s="7"/>
      <c r="F2134" s="7"/>
      <c r="G2134" s="2" t="str">
        <f t="array" ref="G2134">IF(ISBLANK(D2134), "", INDEX(Categories!$B:$B,MATCH(D2134,Categories!$A:$A,0)))</f>
        <v>Hair &amp; Beauty Supplies, Service &amp; Equipment</v>
      </c>
      <c r="H2134" s="7" t="str">
        <f t="array" ref="H2134">IF(ISBLANK(E2134), "", INDEX(Categories!$B:$B,MATCH(E2134,Categories!$A:$A,0)))</f>
        <v/>
      </c>
      <c r="I2134" s="7" t="str">
        <f t="array" ref="I2134">IF(ISBLANK(F2134), "", INDEX(Categories!$B:$B,MATCH(F2134,Categories!$A:$A,0)))</f>
        <v/>
      </c>
      <c r="J2134" s="4"/>
      <c r="K2134" s="4"/>
      <c r="L2134" s="4"/>
      <c r="M2134" s="4"/>
      <c r="N2134" s="4"/>
      <c r="O2134" s="4"/>
      <c r="P2134" s="4"/>
      <c r="Q2134" s="4"/>
    </row>
    <row r="2135">
      <c r="A2135" s="5">
        <v>2134.0</v>
      </c>
      <c r="B2135" s="5" t="s">
        <v>2632</v>
      </c>
      <c r="C2135" s="5" t="s">
        <v>346</v>
      </c>
      <c r="D2135" s="6">
        <f>IFERROR(__xludf.DUMMYFUNCTION("SPLIT(MID(C2135,2,LEN(C2135)-2), "","")"),610.0)</f>
        <v>610</v>
      </c>
      <c r="E2135" s="7"/>
      <c r="F2135" s="7"/>
      <c r="G2135" s="2" t="str">
        <f t="array" ref="G2135">IF(ISBLANK(D2135), "", INDEX(Categories!$B:$B,MATCH(D2135,Categories!$A:$A,0)))</f>
        <v>Supermarkets &amp; Super Stores</v>
      </c>
      <c r="H2135" s="7" t="str">
        <f t="array" ref="H2135">IF(ISBLANK(E2135), "", INDEX(Categories!$B:$B,MATCH(E2135,Categories!$A:$A,0)))</f>
        <v/>
      </c>
      <c r="I2135" s="7" t="str">
        <f t="array" ref="I2135">IF(ISBLANK(F2135), "", INDEX(Categories!$B:$B,MATCH(F2135,Categories!$A:$A,0)))</f>
        <v/>
      </c>
      <c r="J2135" s="4"/>
      <c r="K2135" s="4"/>
      <c r="L2135" s="4"/>
      <c r="M2135" s="4"/>
      <c r="N2135" s="4"/>
      <c r="O2135" s="4"/>
      <c r="P2135" s="4"/>
      <c r="Q2135" s="4"/>
    </row>
    <row r="2136">
      <c r="A2136" s="5">
        <v>2135.0</v>
      </c>
      <c r="B2136" s="5" t="s">
        <v>2633</v>
      </c>
      <c r="C2136" s="5" t="s">
        <v>96</v>
      </c>
      <c r="D2136" s="6">
        <f>IFERROR(__xludf.DUMMYFUNCTION("SPLIT(MID(C2136,2,LEN(C2136)-2), "","")"),572.0)</f>
        <v>572</v>
      </c>
      <c r="E2136" s="7"/>
      <c r="F2136" s="7"/>
      <c r="G2136" s="2" t="str">
        <f t="array" ref="G2136">IF(ISBLANK(D2136), "", INDEX(Categories!$B:$B,MATCH(D2136,Categories!$A:$A,0)))</f>
        <v>Groceries</v>
      </c>
      <c r="H2136" s="7" t="str">
        <f t="array" ref="H2136">IF(ISBLANK(E2136), "", INDEX(Categories!$B:$B,MATCH(E2136,Categories!$A:$A,0)))</f>
        <v/>
      </c>
      <c r="I2136" s="7" t="str">
        <f t="array" ref="I2136">IF(ISBLANK(F2136), "", INDEX(Categories!$B:$B,MATCH(F2136,Categories!$A:$A,0)))</f>
        <v/>
      </c>
      <c r="J2136" s="4"/>
      <c r="K2136" s="4"/>
      <c r="L2136" s="4"/>
      <c r="M2136" s="4"/>
      <c r="N2136" s="4"/>
      <c r="O2136" s="4"/>
      <c r="P2136" s="4"/>
      <c r="Q2136" s="4"/>
    </row>
    <row r="2137">
      <c r="A2137" s="5">
        <v>2136.0</v>
      </c>
      <c r="B2137" s="5" t="s">
        <v>2634</v>
      </c>
      <c r="C2137" s="5" t="s">
        <v>96</v>
      </c>
      <c r="D2137" s="6">
        <f>IFERROR(__xludf.DUMMYFUNCTION("SPLIT(MID(C2137,2,LEN(C2137)-2), "","")"),572.0)</f>
        <v>572</v>
      </c>
      <c r="E2137" s="7"/>
      <c r="F2137" s="7"/>
      <c r="G2137" s="2" t="str">
        <f t="array" ref="G2137">IF(ISBLANK(D2137), "", INDEX(Categories!$B:$B,MATCH(D2137,Categories!$A:$A,0)))</f>
        <v>Groceries</v>
      </c>
      <c r="H2137" s="7" t="str">
        <f t="array" ref="H2137">IF(ISBLANK(E2137), "", INDEX(Categories!$B:$B,MATCH(E2137,Categories!$A:$A,0)))</f>
        <v/>
      </c>
      <c r="I2137" s="7" t="str">
        <f t="array" ref="I2137">IF(ISBLANK(F2137), "", INDEX(Categories!$B:$B,MATCH(F2137,Categories!$A:$A,0)))</f>
        <v/>
      </c>
      <c r="J2137" s="4"/>
      <c r="K2137" s="4"/>
      <c r="L2137" s="4"/>
      <c r="M2137" s="4"/>
      <c r="N2137" s="4"/>
      <c r="O2137" s="4"/>
      <c r="P2137" s="4"/>
      <c r="Q2137" s="4"/>
    </row>
    <row r="2138">
      <c r="A2138" s="5">
        <v>2137.0</v>
      </c>
      <c r="B2138" s="5" t="s">
        <v>2635</v>
      </c>
      <c r="C2138" s="5" t="s">
        <v>585</v>
      </c>
      <c r="D2138" s="6">
        <f>IFERROR(__xludf.DUMMYFUNCTION("SPLIT(MID(C2138,2,LEN(C2138)-2), "","")"),1259.0)</f>
        <v>1259</v>
      </c>
      <c r="E2138" s="7"/>
      <c r="F2138" s="7"/>
      <c r="G2138" s="2" t="str">
        <f t="array" ref="G2138">IF(ISBLANK(D2138), "", INDEX(Categories!$B:$B,MATCH(D2138,Categories!$A:$A,0)))</f>
        <v>Lingerie Retail</v>
      </c>
      <c r="H2138" s="7" t="str">
        <f t="array" ref="H2138">IF(ISBLANK(E2138), "", INDEX(Categories!$B:$B,MATCH(E2138,Categories!$A:$A,0)))</f>
        <v/>
      </c>
      <c r="I2138" s="7" t="str">
        <f t="array" ref="I2138">IF(ISBLANK(F2138), "", INDEX(Categories!$B:$B,MATCH(F2138,Categories!$A:$A,0)))</f>
        <v/>
      </c>
      <c r="J2138" s="4"/>
      <c r="K2138" s="4"/>
      <c r="L2138" s="4"/>
      <c r="M2138" s="4"/>
      <c r="N2138" s="4"/>
      <c r="O2138" s="4"/>
      <c r="P2138" s="4"/>
      <c r="Q2138" s="4"/>
    </row>
    <row r="2139">
      <c r="A2139" s="5">
        <v>2138.0</v>
      </c>
      <c r="B2139" s="5" t="s">
        <v>2636</v>
      </c>
      <c r="C2139" s="5" t="s">
        <v>34</v>
      </c>
      <c r="D2139" s="6">
        <f>IFERROR(__xludf.DUMMYFUNCTION("SPLIT(MID(C2139,2,LEN(C2139)-2), "","")"),228.0)</f>
        <v>228</v>
      </c>
      <c r="E2139" s="7"/>
      <c r="F2139" s="7"/>
      <c r="G2139" s="2" t="str">
        <f t="array" ref="G2139">IF(ISBLANK(D2139), "", INDEX(Categories!$B:$B,MATCH(D2139,Categories!$A:$A,0)))</f>
        <v>Restaurants</v>
      </c>
      <c r="H2139" s="7" t="str">
        <f t="array" ref="H2139">IF(ISBLANK(E2139), "", INDEX(Categories!$B:$B,MATCH(E2139,Categories!$A:$A,0)))</f>
        <v/>
      </c>
      <c r="I2139" s="7" t="str">
        <f t="array" ref="I2139">IF(ISBLANK(F2139), "", INDEX(Categories!$B:$B,MATCH(F2139,Categories!$A:$A,0)))</f>
        <v/>
      </c>
      <c r="J2139" s="4"/>
      <c r="K2139" s="4"/>
      <c r="L2139" s="4"/>
      <c r="M2139" s="4"/>
      <c r="N2139" s="4"/>
      <c r="O2139" s="4"/>
      <c r="P2139" s="4"/>
      <c r="Q2139" s="4"/>
    </row>
    <row r="2140">
      <c r="A2140" s="5">
        <v>2139.0</v>
      </c>
      <c r="B2140" s="5" t="s">
        <v>2637</v>
      </c>
      <c r="C2140" s="5" t="s">
        <v>34</v>
      </c>
      <c r="D2140" s="6">
        <f>IFERROR(__xludf.DUMMYFUNCTION("SPLIT(MID(C2140,2,LEN(C2140)-2), "","")"),228.0)</f>
        <v>228</v>
      </c>
      <c r="E2140" s="7"/>
      <c r="F2140" s="7"/>
      <c r="G2140" s="2" t="str">
        <f t="array" ref="G2140">IF(ISBLANK(D2140), "", INDEX(Categories!$B:$B,MATCH(D2140,Categories!$A:$A,0)))</f>
        <v>Restaurants</v>
      </c>
      <c r="H2140" s="7" t="str">
        <f t="array" ref="H2140">IF(ISBLANK(E2140), "", INDEX(Categories!$B:$B,MATCH(E2140,Categories!$A:$A,0)))</f>
        <v/>
      </c>
      <c r="I2140" s="7" t="str">
        <f t="array" ref="I2140">IF(ISBLANK(F2140), "", INDEX(Categories!$B:$B,MATCH(F2140,Categories!$A:$A,0)))</f>
        <v/>
      </c>
      <c r="J2140" s="4"/>
      <c r="K2140" s="4"/>
      <c r="L2140" s="4"/>
      <c r="M2140" s="4"/>
      <c r="N2140" s="4"/>
      <c r="O2140" s="4"/>
      <c r="P2140" s="4"/>
      <c r="Q2140" s="4"/>
    </row>
    <row r="2141">
      <c r="A2141" s="5">
        <v>2140.0</v>
      </c>
      <c r="B2141" s="5" t="s">
        <v>2638</v>
      </c>
      <c r="C2141" s="5" t="s">
        <v>96</v>
      </c>
      <c r="D2141" s="6">
        <f>IFERROR(__xludf.DUMMYFUNCTION("SPLIT(MID(C2141,2,LEN(C2141)-2), "","")"),572.0)</f>
        <v>572</v>
      </c>
      <c r="E2141" s="7"/>
      <c r="F2141" s="7"/>
      <c r="G2141" s="2" t="str">
        <f t="array" ref="G2141">IF(ISBLANK(D2141), "", INDEX(Categories!$B:$B,MATCH(D2141,Categories!$A:$A,0)))</f>
        <v>Groceries</v>
      </c>
      <c r="H2141" s="7" t="str">
        <f t="array" ref="H2141">IF(ISBLANK(E2141), "", INDEX(Categories!$B:$B,MATCH(E2141,Categories!$A:$A,0)))</f>
        <v/>
      </c>
      <c r="I2141" s="7" t="str">
        <f t="array" ref="I2141">IF(ISBLANK(F2141), "", INDEX(Categories!$B:$B,MATCH(F2141,Categories!$A:$A,0)))</f>
        <v/>
      </c>
      <c r="J2141" s="4"/>
      <c r="K2141" s="4"/>
      <c r="L2141" s="4"/>
      <c r="M2141" s="4"/>
      <c r="N2141" s="4"/>
      <c r="O2141" s="4"/>
      <c r="P2141" s="4"/>
      <c r="Q2141" s="4"/>
    </row>
    <row r="2142">
      <c r="A2142" s="5">
        <v>2141.0</v>
      </c>
      <c r="B2142" s="5" t="s">
        <v>2639</v>
      </c>
      <c r="C2142" s="5" t="s">
        <v>190</v>
      </c>
      <c r="D2142" s="6">
        <f>IFERROR(__xludf.DUMMYFUNCTION("SPLIT(MID(C2142,2,LEN(C2142)-2), "","")"),639.0)</f>
        <v>639</v>
      </c>
      <c r="E2142" s="7"/>
      <c r="F2142" s="7"/>
      <c r="G2142" s="2" t="str">
        <f t="array" ref="G2142">IF(ISBLANK(D2142), "", INDEX(Categories!$B:$B,MATCH(D2142,Categories!$A:$A,0)))</f>
        <v>Photographers Portrait</v>
      </c>
      <c r="H2142" s="7" t="str">
        <f t="array" ref="H2142">IF(ISBLANK(E2142), "", INDEX(Categories!$B:$B,MATCH(E2142,Categories!$A:$A,0)))</f>
        <v/>
      </c>
      <c r="I2142" s="7" t="str">
        <f t="array" ref="I2142">IF(ISBLANK(F2142), "", INDEX(Categories!$B:$B,MATCH(F2142,Categories!$A:$A,0)))</f>
        <v/>
      </c>
      <c r="J2142" s="4"/>
      <c r="K2142" s="4"/>
      <c r="L2142" s="4"/>
      <c r="M2142" s="4"/>
      <c r="N2142" s="4"/>
      <c r="O2142" s="4"/>
      <c r="P2142" s="4"/>
      <c r="Q2142" s="4"/>
    </row>
    <row r="2143">
      <c r="A2143" s="5">
        <v>2142.0</v>
      </c>
      <c r="B2143" s="5" t="s">
        <v>2640</v>
      </c>
      <c r="C2143" s="5" t="s">
        <v>96</v>
      </c>
      <c r="D2143" s="6">
        <f>IFERROR(__xludf.DUMMYFUNCTION("SPLIT(MID(C2143,2,LEN(C2143)-2), "","")"),572.0)</f>
        <v>572</v>
      </c>
      <c r="E2143" s="7"/>
      <c r="F2143" s="7"/>
      <c r="G2143" s="2" t="str">
        <f t="array" ref="G2143">IF(ISBLANK(D2143), "", INDEX(Categories!$B:$B,MATCH(D2143,Categories!$A:$A,0)))</f>
        <v>Groceries</v>
      </c>
      <c r="H2143" s="7" t="str">
        <f t="array" ref="H2143">IF(ISBLANK(E2143), "", INDEX(Categories!$B:$B,MATCH(E2143,Categories!$A:$A,0)))</f>
        <v/>
      </c>
      <c r="I2143" s="7" t="str">
        <f t="array" ref="I2143">IF(ISBLANK(F2143), "", INDEX(Categories!$B:$B,MATCH(F2143,Categories!$A:$A,0)))</f>
        <v/>
      </c>
      <c r="J2143" s="4"/>
      <c r="K2143" s="4"/>
      <c r="L2143" s="4"/>
      <c r="M2143" s="4"/>
      <c r="N2143" s="4"/>
      <c r="O2143" s="4"/>
      <c r="P2143" s="4"/>
      <c r="Q2143" s="4"/>
    </row>
    <row r="2144">
      <c r="A2144" s="5">
        <v>2143.0</v>
      </c>
      <c r="B2144" s="5" t="s">
        <v>2641</v>
      </c>
      <c r="C2144" s="5" t="s">
        <v>96</v>
      </c>
      <c r="D2144" s="6">
        <f>IFERROR(__xludf.DUMMYFUNCTION("SPLIT(MID(C2144,2,LEN(C2144)-2), "","")"),572.0)</f>
        <v>572</v>
      </c>
      <c r="E2144" s="7"/>
      <c r="F2144" s="7"/>
      <c r="G2144" s="2" t="str">
        <f t="array" ref="G2144">IF(ISBLANK(D2144), "", INDEX(Categories!$B:$B,MATCH(D2144,Categories!$A:$A,0)))</f>
        <v>Groceries</v>
      </c>
      <c r="H2144" s="7" t="str">
        <f t="array" ref="H2144">IF(ISBLANK(E2144), "", INDEX(Categories!$B:$B,MATCH(E2144,Categories!$A:$A,0)))</f>
        <v/>
      </c>
      <c r="I2144" s="7" t="str">
        <f t="array" ref="I2144">IF(ISBLANK(F2144), "", INDEX(Categories!$B:$B,MATCH(F2144,Categories!$A:$A,0)))</f>
        <v/>
      </c>
      <c r="J2144" s="4"/>
      <c r="K2144" s="4"/>
      <c r="L2144" s="4"/>
      <c r="M2144" s="4"/>
      <c r="N2144" s="4"/>
      <c r="O2144" s="4"/>
      <c r="P2144" s="4"/>
      <c r="Q2144" s="4"/>
    </row>
    <row r="2145">
      <c r="A2145" s="5">
        <v>2144.0</v>
      </c>
      <c r="B2145" s="5" t="s">
        <v>2642</v>
      </c>
      <c r="C2145" s="5" t="s">
        <v>1530</v>
      </c>
      <c r="D2145" s="6">
        <f>IFERROR(__xludf.DUMMYFUNCTION("SPLIT(MID(C2145,2,LEN(C2145)-2), "","")"),239.0)</f>
        <v>239</v>
      </c>
      <c r="E2145" s="7"/>
      <c r="F2145" s="7"/>
      <c r="G2145" s="2" t="str">
        <f t="array" ref="G2145">IF(ISBLANK(D2145), "", INDEX(Categories!$B:$B,MATCH(D2145,Categories!$A:$A,0)))</f>
        <v>Restaurants Dining</v>
      </c>
      <c r="H2145" s="7" t="str">
        <f t="array" ref="H2145">IF(ISBLANK(E2145), "", INDEX(Categories!$B:$B,MATCH(E2145,Categories!$A:$A,0)))</f>
        <v/>
      </c>
      <c r="I2145" s="7" t="str">
        <f t="array" ref="I2145">IF(ISBLANK(F2145), "", INDEX(Categories!$B:$B,MATCH(F2145,Categories!$A:$A,0)))</f>
        <v/>
      </c>
      <c r="J2145" s="4"/>
      <c r="K2145" s="4"/>
      <c r="L2145" s="4"/>
      <c r="M2145" s="4"/>
      <c r="N2145" s="4"/>
      <c r="O2145" s="4"/>
      <c r="P2145" s="4"/>
      <c r="Q2145" s="4"/>
    </row>
    <row r="2146">
      <c r="A2146" s="5">
        <v>2145.0</v>
      </c>
      <c r="B2146" s="5" t="s">
        <v>2643</v>
      </c>
      <c r="C2146" s="5" t="s">
        <v>170</v>
      </c>
      <c r="D2146" s="6">
        <f>IFERROR(__xludf.DUMMYFUNCTION("SPLIT(MID(C2146,2,LEN(C2146)-2), "","")"),189.0)</f>
        <v>189</v>
      </c>
      <c r="E2146" s="7"/>
      <c r="F2146" s="7"/>
      <c r="G2146" s="2" t="str">
        <f t="array" ref="G2146">IF(ISBLANK(D2146), "", INDEX(Categories!$B:$B,MATCH(D2146,Categories!$A:$A,0)))</f>
        <v>Pharmacies</v>
      </c>
      <c r="H2146" s="7" t="str">
        <f t="array" ref="H2146">IF(ISBLANK(E2146), "", INDEX(Categories!$B:$B,MATCH(E2146,Categories!$A:$A,0)))</f>
        <v/>
      </c>
      <c r="I2146" s="7" t="str">
        <f t="array" ref="I2146">IF(ISBLANK(F2146), "", INDEX(Categories!$B:$B,MATCH(F2146,Categories!$A:$A,0)))</f>
        <v/>
      </c>
      <c r="J2146" s="4"/>
      <c r="K2146" s="4"/>
      <c r="L2146" s="4"/>
      <c r="M2146" s="4"/>
      <c r="N2146" s="4"/>
      <c r="O2146" s="4"/>
      <c r="P2146" s="4"/>
      <c r="Q2146" s="4"/>
    </row>
    <row r="2147">
      <c r="A2147" s="5">
        <v>2146.0</v>
      </c>
      <c r="B2147" s="5" t="s">
        <v>2644</v>
      </c>
      <c r="C2147" s="5" t="s">
        <v>346</v>
      </c>
      <c r="D2147" s="6">
        <f>IFERROR(__xludf.DUMMYFUNCTION("SPLIT(MID(C2147,2,LEN(C2147)-2), "","")"),610.0)</f>
        <v>610</v>
      </c>
      <c r="E2147" s="7"/>
      <c r="F2147" s="7"/>
      <c r="G2147" s="2" t="str">
        <f t="array" ref="G2147">IF(ISBLANK(D2147), "", INDEX(Categories!$B:$B,MATCH(D2147,Categories!$A:$A,0)))</f>
        <v>Supermarkets &amp; Super Stores</v>
      </c>
      <c r="H2147" s="7" t="str">
        <f t="array" ref="H2147">IF(ISBLANK(E2147), "", INDEX(Categories!$B:$B,MATCH(E2147,Categories!$A:$A,0)))</f>
        <v/>
      </c>
      <c r="I2147" s="7" t="str">
        <f t="array" ref="I2147">IF(ISBLANK(F2147), "", INDEX(Categories!$B:$B,MATCH(F2147,Categories!$A:$A,0)))</f>
        <v/>
      </c>
      <c r="J2147" s="4"/>
      <c r="K2147" s="4"/>
      <c r="L2147" s="4"/>
      <c r="M2147" s="4"/>
      <c r="N2147" s="4"/>
      <c r="O2147" s="4"/>
      <c r="P2147" s="4"/>
      <c r="Q2147" s="4"/>
    </row>
    <row r="2148">
      <c r="A2148" s="5">
        <v>2147.0</v>
      </c>
      <c r="B2148" s="5" t="s">
        <v>2645</v>
      </c>
      <c r="C2148" s="5" t="s">
        <v>346</v>
      </c>
      <c r="D2148" s="6">
        <f>IFERROR(__xludf.DUMMYFUNCTION("SPLIT(MID(C2148,2,LEN(C2148)-2), "","")"),610.0)</f>
        <v>610</v>
      </c>
      <c r="E2148" s="7"/>
      <c r="F2148" s="7"/>
      <c r="G2148" s="2" t="str">
        <f t="array" ref="G2148">IF(ISBLANK(D2148), "", INDEX(Categories!$B:$B,MATCH(D2148,Categories!$A:$A,0)))</f>
        <v>Supermarkets &amp; Super Stores</v>
      </c>
      <c r="H2148" s="7" t="str">
        <f t="array" ref="H2148">IF(ISBLANK(E2148), "", INDEX(Categories!$B:$B,MATCH(E2148,Categories!$A:$A,0)))</f>
        <v/>
      </c>
      <c r="I2148" s="7" t="str">
        <f t="array" ref="I2148">IF(ISBLANK(F2148), "", INDEX(Categories!$B:$B,MATCH(F2148,Categories!$A:$A,0)))</f>
        <v/>
      </c>
      <c r="J2148" s="4"/>
      <c r="K2148" s="4"/>
      <c r="L2148" s="4"/>
      <c r="M2148" s="4"/>
      <c r="N2148" s="4"/>
      <c r="O2148" s="4"/>
      <c r="P2148" s="4"/>
      <c r="Q2148" s="4"/>
    </row>
    <row r="2149">
      <c r="A2149" s="5">
        <v>2148.0</v>
      </c>
      <c r="B2149" s="5" t="s">
        <v>2646</v>
      </c>
      <c r="C2149" s="5" t="s">
        <v>303</v>
      </c>
      <c r="D2149" s="6">
        <f>IFERROR(__xludf.DUMMYFUNCTION("SPLIT(MID(C2149,2,LEN(C2149)-2), "","")"),1241.0)</f>
        <v>1241</v>
      </c>
      <c r="E2149" s="7"/>
      <c r="F2149" s="7"/>
      <c r="G2149" s="2" t="str">
        <f t="array" ref="G2149">IF(ISBLANK(D2149), "", INDEX(Categories!$B:$B,MATCH(D2149,Categories!$A:$A,0)))</f>
        <v>Clothing &amp; Accessories</v>
      </c>
      <c r="H2149" s="7" t="str">
        <f t="array" ref="H2149">IF(ISBLANK(E2149), "", INDEX(Categories!$B:$B,MATCH(E2149,Categories!$A:$A,0)))</f>
        <v/>
      </c>
      <c r="I2149" s="7" t="str">
        <f t="array" ref="I2149">IF(ISBLANK(F2149), "", INDEX(Categories!$B:$B,MATCH(F2149,Categories!$A:$A,0)))</f>
        <v/>
      </c>
      <c r="J2149" s="4"/>
      <c r="K2149" s="4"/>
      <c r="L2149" s="4"/>
      <c r="M2149" s="4"/>
      <c r="N2149" s="4"/>
      <c r="O2149" s="4"/>
      <c r="P2149" s="4"/>
      <c r="Q2149" s="4"/>
    </row>
    <row r="2150">
      <c r="A2150" s="5">
        <v>2149.0</v>
      </c>
      <c r="B2150" s="5" t="s">
        <v>2647</v>
      </c>
      <c r="C2150" s="5" t="s">
        <v>303</v>
      </c>
      <c r="D2150" s="6">
        <f>IFERROR(__xludf.DUMMYFUNCTION("SPLIT(MID(C2150,2,LEN(C2150)-2), "","")"),1241.0)</f>
        <v>1241</v>
      </c>
      <c r="E2150" s="7"/>
      <c r="F2150" s="7"/>
      <c r="G2150" s="2" t="str">
        <f t="array" ref="G2150">IF(ISBLANK(D2150), "", INDEX(Categories!$B:$B,MATCH(D2150,Categories!$A:$A,0)))</f>
        <v>Clothing &amp; Accessories</v>
      </c>
      <c r="H2150" s="7" t="str">
        <f t="array" ref="H2150">IF(ISBLANK(E2150), "", INDEX(Categories!$B:$B,MATCH(E2150,Categories!$A:$A,0)))</f>
        <v/>
      </c>
      <c r="I2150" s="7" t="str">
        <f t="array" ref="I2150">IF(ISBLANK(F2150), "", INDEX(Categories!$B:$B,MATCH(F2150,Categories!$A:$A,0)))</f>
        <v/>
      </c>
      <c r="J2150" s="4"/>
      <c r="K2150" s="4"/>
      <c r="L2150" s="4"/>
      <c r="M2150" s="4"/>
      <c r="N2150" s="4"/>
      <c r="O2150" s="4"/>
      <c r="P2150" s="4"/>
      <c r="Q2150" s="4"/>
    </row>
    <row r="2151">
      <c r="A2151" s="5">
        <v>2150.0</v>
      </c>
      <c r="B2151" s="5" t="s">
        <v>2648</v>
      </c>
      <c r="C2151" s="5" t="s">
        <v>346</v>
      </c>
      <c r="D2151" s="6">
        <f>IFERROR(__xludf.DUMMYFUNCTION("SPLIT(MID(C2151,2,LEN(C2151)-2), "","")"),610.0)</f>
        <v>610</v>
      </c>
      <c r="E2151" s="7"/>
      <c r="F2151" s="7"/>
      <c r="G2151" s="2" t="str">
        <f t="array" ref="G2151">IF(ISBLANK(D2151), "", INDEX(Categories!$B:$B,MATCH(D2151,Categories!$A:$A,0)))</f>
        <v>Supermarkets &amp; Super Stores</v>
      </c>
      <c r="H2151" s="7" t="str">
        <f t="array" ref="H2151">IF(ISBLANK(E2151), "", INDEX(Categories!$B:$B,MATCH(E2151,Categories!$A:$A,0)))</f>
        <v/>
      </c>
      <c r="I2151" s="7" t="str">
        <f t="array" ref="I2151">IF(ISBLANK(F2151), "", INDEX(Categories!$B:$B,MATCH(F2151,Categories!$A:$A,0)))</f>
        <v/>
      </c>
      <c r="J2151" s="4"/>
      <c r="K2151" s="4"/>
      <c r="L2151" s="4"/>
      <c r="M2151" s="4"/>
      <c r="N2151" s="4"/>
      <c r="O2151" s="4"/>
      <c r="P2151" s="4"/>
      <c r="Q2151" s="4"/>
    </row>
    <row r="2152">
      <c r="A2152" s="5">
        <v>2151.0</v>
      </c>
      <c r="B2152" s="5" t="s">
        <v>2649</v>
      </c>
      <c r="C2152" s="5" t="s">
        <v>346</v>
      </c>
      <c r="D2152" s="6">
        <f>IFERROR(__xludf.DUMMYFUNCTION("SPLIT(MID(C2152,2,LEN(C2152)-2), "","")"),610.0)</f>
        <v>610</v>
      </c>
      <c r="E2152" s="7"/>
      <c r="F2152" s="7"/>
      <c r="G2152" s="2" t="str">
        <f t="array" ref="G2152">IF(ISBLANK(D2152), "", INDEX(Categories!$B:$B,MATCH(D2152,Categories!$A:$A,0)))</f>
        <v>Supermarkets &amp; Super Stores</v>
      </c>
      <c r="H2152" s="7" t="str">
        <f t="array" ref="H2152">IF(ISBLANK(E2152), "", INDEX(Categories!$B:$B,MATCH(E2152,Categories!$A:$A,0)))</f>
        <v/>
      </c>
      <c r="I2152" s="7" t="str">
        <f t="array" ref="I2152">IF(ISBLANK(F2152), "", INDEX(Categories!$B:$B,MATCH(F2152,Categories!$A:$A,0)))</f>
        <v/>
      </c>
      <c r="J2152" s="4"/>
      <c r="K2152" s="4"/>
      <c r="L2152" s="4"/>
      <c r="M2152" s="4"/>
      <c r="N2152" s="4"/>
      <c r="O2152" s="4"/>
      <c r="P2152" s="4"/>
      <c r="Q2152" s="4"/>
    </row>
    <row r="2153">
      <c r="A2153" s="5">
        <v>2152.0</v>
      </c>
      <c r="B2153" s="5" t="s">
        <v>2650</v>
      </c>
      <c r="C2153" s="5" t="s">
        <v>626</v>
      </c>
      <c r="D2153" s="6">
        <f>IFERROR(__xludf.DUMMYFUNCTION("SPLIT(MID(C2153,2,LEN(C2153)-2), "","")"),1247.0)</f>
        <v>1247</v>
      </c>
      <c r="E2153" s="7"/>
      <c r="F2153" s="7"/>
      <c r="G2153" s="2" t="str">
        <f t="array" ref="G2153">IF(ISBLANK(D2153), "", INDEX(Categories!$B:$B,MATCH(D2153,Categories!$A:$A,0)))</f>
        <v>Clothing Children &amp; Infant</v>
      </c>
      <c r="H2153" s="7" t="str">
        <f t="array" ref="H2153">IF(ISBLANK(E2153), "", INDEX(Categories!$B:$B,MATCH(E2153,Categories!$A:$A,0)))</f>
        <v/>
      </c>
      <c r="I2153" s="7" t="str">
        <f t="array" ref="I2153">IF(ISBLANK(F2153), "", INDEX(Categories!$B:$B,MATCH(F2153,Categories!$A:$A,0)))</f>
        <v/>
      </c>
      <c r="J2153" s="4"/>
      <c r="K2153" s="4"/>
      <c r="L2153" s="4"/>
      <c r="M2153" s="4"/>
      <c r="N2153" s="4"/>
      <c r="O2153" s="4"/>
      <c r="P2153" s="4"/>
      <c r="Q2153" s="4"/>
    </row>
    <row r="2154">
      <c r="A2154" s="5">
        <v>2153.0</v>
      </c>
      <c r="B2154" s="5" t="s">
        <v>2651</v>
      </c>
      <c r="C2154" s="5" t="s">
        <v>47</v>
      </c>
      <c r="D2154" s="6">
        <f>IFERROR(__xludf.DUMMYFUNCTION("SPLIT(MID(C2154,2,LEN(C2154)-2), "","")"),546.0)</f>
        <v>546</v>
      </c>
      <c r="E2154" s="7"/>
      <c r="F2154" s="7"/>
      <c r="G2154" s="2" t="str">
        <f t="array" ref="G2154">IF(ISBLANK(D2154), "", INDEX(Categories!$B:$B,MATCH(D2154,Categories!$A:$A,0)))</f>
        <v>Cosmetics &amp; Perfumes Retail</v>
      </c>
      <c r="H2154" s="7" t="str">
        <f t="array" ref="H2154">IF(ISBLANK(E2154), "", INDEX(Categories!$B:$B,MATCH(E2154,Categories!$A:$A,0)))</f>
        <v/>
      </c>
      <c r="I2154" s="7" t="str">
        <f t="array" ref="I2154">IF(ISBLANK(F2154), "", INDEX(Categories!$B:$B,MATCH(F2154,Categories!$A:$A,0)))</f>
        <v/>
      </c>
      <c r="J2154" s="4"/>
      <c r="K2154" s="4"/>
      <c r="L2154" s="4"/>
      <c r="M2154" s="4"/>
      <c r="N2154" s="4"/>
      <c r="O2154" s="4"/>
      <c r="P2154" s="4"/>
      <c r="Q2154" s="4"/>
    </row>
    <row r="2155">
      <c r="A2155" s="5">
        <v>2154.0</v>
      </c>
      <c r="B2155" s="5" t="s">
        <v>2652</v>
      </c>
      <c r="C2155" s="5" t="s">
        <v>34</v>
      </c>
      <c r="D2155" s="6">
        <f>IFERROR(__xludf.DUMMYFUNCTION("SPLIT(MID(C2155,2,LEN(C2155)-2), "","")"),228.0)</f>
        <v>228</v>
      </c>
      <c r="E2155" s="7"/>
      <c r="F2155" s="7"/>
      <c r="G2155" s="2" t="str">
        <f t="array" ref="G2155">IF(ISBLANK(D2155), "", INDEX(Categories!$B:$B,MATCH(D2155,Categories!$A:$A,0)))</f>
        <v>Restaurants</v>
      </c>
      <c r="H2155" s="7" t="str">
        <f t="array" ref="H2155">IF(ISBLANK(E2155), "", INDEX(Categories!$B:$B,MATCH(E2155,Categories!$A:$A,0)))</f>
        <v/>
      </c>
      <c r="I2155" s="7" t="str">
        <f t="array" ref="I2155">IF(ISBLANK(F2155), "", INDEX(Categories!$B:$B,MATCH(F2155,Categories!$A:$A,0)))</f>
        <v/>
      </c>
      <c r="J2155" s="4"/>
      <c r="K2155" s="4"/>
      <c r="L2155" s="4"/>
      <c r="M2155" s="4"/>
      <c r="N2155" s="4"/>
      <c r="O2155" s="4"/>
      <c r="P2155" s="4"/>
      <c r="Q2155" s="4"/>
    </row>
    <row r="2156">
      <c r="A2156" s="5">
        <v>2155.0</v>
      </c>
      <c r="B2156" s="5" t="s">
        <v>2653</v>
      </c>
      <c r="C2156" s="5" t="s">
        <v>346</v>
      </c>
      <c r="D2156" s="6">
        <f>IFERROR(__xludf.DUMMYFUNCTION("SPLIT(MID(C2156,2,LEN(C2156)-2), "","")"),610.0)</f>
        <v>610</v>
      </c>
      <c r="E2156" s="7"/>
      <c r="F2156" s="7"/>
      <c r="G2156" s="2" t="str">
        <f t="array" ref="G2156">IF(ISBLANK(D2156), "", INDEX(Categories!$B:$B,MATCH(D2156,Categories!$A:$A,0)))</f>
        <v>Supermarkets &amp; Super Stores</v>
      </c>
      <c r="H2156" s="7" t="str">
        <f t="array" ref="H2156">IF(ISBLANK(E2156), "", INDEX(Categories!$B:$B,MATCH(E2156,Categories!$A:$A,0)))</f>
        <v/>
      </c>
      <c r="I2156" s="7" t="str">
        <f t="array" ref="I2156">IF(ISBLANK(F2156), "", INDEX(Categories!$B:$B,MATCH(F2156,Categories!$A:$A,0)))</f>
        <v/>
      </c>
      <c r="J2156" s="4"/>
      <c r="K2156" s="4"/>
      <c r="L2156" s="4"/>
      <c r="M2156" s="4"/>
      <c r="N2156" s="4"/>
      <c r="O2156" s="4"/>
      <c r="P2156" s="4"/>
      <c r="Q2156" s="4"/>
    </row>
    <row r="2157">
      <c r="A2157" s="5">
        <v>2156.0</v>
      </c>
      <c r="B2157" s="5" t="s">
        <v>2654</v>
      </c>
      <c r="C2157" s="5" t="s">
        <v>303</v>
      </c>
      <c r="D2157" s="6">
        <f>IFERROR(__xludf.DUMMYFUNCTION("SPLIT(MID(C2157,2,LEN(C2157)-2), "","")"),1241.0)</f>
        <v>1241</v>
      </c>
      <c r="E2157" s="7"/>
      <c r="F2157" s="7"/>
      <c r="G2157" s="2" t="str">
        <f t="array" ref="G2157">IF(ISBLANK(D2157), "", INDEX(Categories!$B:$B,MATCH(D2157,Categories!$A:$A,0)))</f>
        <v>Clothing &amp; Accessories</v>
      </c>
      <c r="H2157" s="7" t="str">
        <f t="array" ref="H2157">IF(ISBLANK(E2157), "", INDEX(Categories!$B:$B,MATCH(E2157,Categories!$A:$A,0)))</f>
        <v/>
      </c>
      <c r="I2157" s="7" t="str">
        <f t="array" ref="I2157">IF(ISBLANK(F2157), "", INDEX(Categories!$B:$B,MATCH(F2157,Categories!$A:$A,0)))</f>
        <v/>
      </c>
      <c r="J2157" s="4"/>
      <c r="K2157" s="4"/>
      <c r="L2157" s="4"/>
      <c r="M2157" s="4"/>
      <c r="N2157" s="4"/>
      <c r="O2157" s="4"/>
      <c r="P2157" s="4"/>
      <c r="Q2157" s="4"/>
    </row>
    <row r="2158">
      <c r="A2158" s="5">
        <v>2157.0</v>
      </c>
      <c r="B2158" s="5" t="s">
        <v>2655</v>
      </c>
      <c r="C2158" s="5" t="s">
        <v>96</v>
      </c>
      <c r="D2158" s="6">
        <f>IFERROR(__xludf.DUMMYFUNCTION("SPLIT(MID(C2158,2,LEN(C2158)-2), "","")"),572.0)</f>
        <v>572</v>
      </c>
      <c r="E2158" s="7"/>
      <c r="F2158" s="7"/>
      <c r="G2158" s="2" t="str">
        <f t="array" ref="G2158">IF(ISBLANK(D2158), "", INDEX(Categories!$B:$B,MATCH(D2158,Categories!$A:$A,0)))</f>
        <v>Groceries</v>
      </c>
      <c r="H2158" s="7" t="str">
        <f t="array" ref="H2158">IF(ISBLANK(E2158), "", INDEX(Categories!$B:$B,MATCH(E2158,Categories!$A:$A,0)))</f>
        <v/>
      </c>
      <c r="I2158" s="7" t="str">
        <f t="array" ref="I2158">IF(ISBLANK(F2158), "", INDEX(Categories!$B:$B,MATCH(F2158,Categories!$A:$A,0)))</f>
        <v/>
      </c>
      <c r="J2158" s="4"/>
      <c r="K2158" s="4"/>
      <c r="L2158" s="4"/>
      <c r="M2158" s="4"/>
      <c r="N2158" s="4"/>
      <c r="O2158" s="4"/>
      <c r="P2158" s="4"/>
      <c r="Q2158" s="4"/>
    </row>
    <row r="2159">
      <c r="A2159" s="5">
        <v>2158.0</v>
      </c>
      <c r="B2159" s="5" t="s">
        <v>2656</v>
      </c>
      <c r="C2159" s="5" t="s">
        <v>346</v>
      </c>
      <c r="D2159" s="6">
        <f>IFERROR(__xludf.DUMMYFUNCTION("SPLIT(MID(C2159,2,LEN(C2159)-2), "","")"),610.0)</f>
        <v>610</v>
      </c>
      <c r="E2159" s="7"/>
      <c r="F2159" s="7"/>
      <c r="G2159" s="2" t="str">
        <f t="array" ref="G2159">IF(ISBLANK(D2159), "", INDEX(Categories!$B:$B,MATCH(D2159,Categories!$A:$A,0)))</f>
        <v>Supermarkets &amp; Super Stores</v>
      </c>
      <c r="H2159" s="7" t="str">
        <f t="array" ref="H2159">IF(ISBLANK(E2159), "", INDEX(Categories!$B:$B,MATCH(E2159,Categories!$A:$A,0)))</f>
        <v/>
      </c>
      <c r="I2159" s="7" t="str">
        <f t="array" ref="I2159">IF(ISBLANK(F2159), "", INDEX(Categories!$B:$B,MATCH(F2159,Categories!$A:$A,0)))</f>
        <v/>
      </c>
      <c r="J2159" s="4"/>
      <c r="K2159" s="4"/>
      <c r="L2159" s="4"/>
      <c r="M2159" s="4"/>
      <c r="N2159" s="4"/>
      <c r="O2159" s="4"/>
      <c r="P2159" s="4"/>
      <c r="Q2159" s="4"/>
    </row>
    <row r="2160">
      <c r="A2160" s="5">
        <v>2159.0</v>
      </c>
      <c r="B2160" s="5" t="s">
        <v>2657</v>
      </c>
      <c r="C2160" s="5" t="s">
        <v>346</v>
      </c>
      <c r="D2160" s="6">
        <f>IFERROR(__xludf.DUMMYFUNCTION("SPLIT(MID(C2160,2,LEN(C2160)-2), "","")"),610.0)</f>
        <v>610</v>
      </c>
      <c r="E2160" s="7"/>
      <c r="F2160" s="7"/>
      <c r="G2160" s="2" t="str">
        <f t="array" ref="G2160">IF(ISBLANK(D2160), "", INDEX(Categories!$B:$B,MATCH(D2160,Categories!$A:$A,0)))</f>
        <v>Supermarkets &amp; Super Stores</v>
      </c>
      <c r="H2160" s="7" t="str">
        <f t="array" ref="H2160">IF(ISBLANK(E2160), "", INDEX(Categories!$B:$B,MATCH(E2160,Categories!$A:$A,0)))</f>
        <v/>
      </c>
      <c r="I2160" s="7" t="str">
        <f t="array" ref="I2160">IF(ISBLANK(F2160), "", INDEX(Categories!$B:$B,MATCH(F2160,Categories!$A:$A,0)))</f>
        <v/>
      </c>
      <c r="J2160" s="4"/>
      <c r="K2160" s="4"/>
      <c r="L2160" s="4"/>
      <c r="M2160" s="4"/>
      <c r="N2160" s="4"/>
      <c r="O2160" s="4"/>
      <c r="P2160" s="4"/>
      <c r="Q2160" s="4"/>
    </row>
    <row r="2161">
      <c r="A2161" s="5">
        <v>2160.0</v>
      </c>
      <c r="B2161" s="5" t="s">
        <v>2658</v>
      </c>
      <c r="C2161" s="5" t="s">
        <v>96</v>
      </c>
      <c r="D2161" s="6">
        <f>IFERROR(__xludf.DUMMYFUNCTION("SPLIT(MID(C2161,2,LEN(C2161)-2), "","")"),572.0)</f>
        <v>572</v>
      </c>
      <c r="E2161" s="7"/>
      <c r="F2161" s="7"/>
      <c r="G2161" s="2" t="str">
        <f t="array" ref="G2161">IF(ISBLANK(D2161), "", INDEX(Categories!$B:$B,MATCH(D2161,Categories!$A:$A,0)))</f>
        <v>Groceries</v>
      </c>
      <c r="H2161" s="7" t="str">
        <f t="array" ref="H2161">IF(ISBLANK(E2161), "", INDEX(Categories!$B:$B,MATCH(E2161,Categories!$A:$A,0)))</f>
        <v/>
      </c>
      <c r="I2161" s="7" t="str">
        <f t="array" ref="I2161">IF(ISBLANK(F2161), "", INDEX(Categories!$B:$B,MATCH(F2161,Categories!$A:$A,0)))</f>
        <v/>
      </c>
      <c r="J2161" s="4"/>
      <c r="K2161" s="4"/>
      <c r="L2161" s="4"/>
      <c r="M2161" s="4"/>
      <c r="N2161" s="4"/>
      <c r="O2161" s="4"/>
      <c r="P2161" s="4"/>
      <c r="Q2161" s="4"/>
    </row>
    <row r="2162">
      <c r="A2162" s="5">
        <v>2161.0</v>
      </c>
      <c r="B2162" s="5" t="s">
        <v>1925</v>
      </c>
      <c r="C2162" s="5" t="s">
        <v>2659</v>
      </c>
      <c r="D2162" s="6">
        <f>IFERROR(__xludf.DUMMYFUNCTION("SPLIT(MID(C2162,2,LEN(C2162)-2), "","")"),456.0)</f>
        <v>456</v>
      </c>
      <c r="E2162" s="7"/>
      <c r="F2162" s="7"/>
      <c r="G2162" s="2" t="str">
        <f t="array" ref="G2162">IF(ISBLANK(D2162), "", INDEX(Categories!$B:$B,MATCH(D2162,Categories!$A:$A,0)))</f>
        <v>Movie Theaters</v>
      </c>
      <c r="H2162" s="7" t="str">
        <f t="array" ref="H2162">IF(ISBLANK(E2162), "", INDEX(Categories!$B:$B,MATCH(E2162,Categories!$A:$A,0)))</f>
        <v/>
      </c>
      <c r="I2162" s="7" t="str">
        <f t="array" ref="I2162">IF(ISBLANK(F2162), "", INDEX(Categories!$B:$B,MATCH(F2162,Categories!$A:$A,0)))</f>
        <v/>
      </c>
      <c r="J2162" s="4"/>
      <c r="K2162" s="4"/>
      <c r="L2162" s="4"/>
      <c r="M2162" s="4"/>
      <c r="N2162" s="4"/>
      <c r="O2162" s="4"/>
      <c r="P2162" s="4"/>
      <c r="Q2162" s="4"/>
    </row>
    <row r="2163">
      <c r="A2163" s="5">
        <v>2162.0</v>
      </c>
      <c r="B2163" s="5" t="s">
        <v>2660</v>
      </c>
      <c r="C2163" s="5" t="s">
        <v>96</v>
      </c>
      <c r="D2163" s="6">
        <f>IFERROR(__xludf.DUMMYFUNCTION("SPLIT(MID(C2163,2,LEN(C2163)-2), "","")"),572.0)</f>
        <v>572</v>
      </c>
      <c r="E2163" s="7"/>
      <c r="F2163" s="7"/>
      <c r="G2163" s="2" t="str">
        <f t="array" ref="G2163">IF(ISBLANK(D2163), "", INDEX(Categories!$B:$B,MATCH(D2163,Categories!$A:$A,0)))</f>
        <v>Groceries</v>
      </c>
      <c r="H2163" s="7" t="str">
        <f t="array" ref="H2163">IF(ISBLANK(E2163), "", INDEX(Categories!$B:$B,MATCH(E2163,Categories!$A:$A,0)))</f>
        <v/>
      </c>
      <c r="I2163" s="7" t="str">
        <f t="array" ref="I2163">IF(ISBLANK(F2163), "", INDEX(Categories!$B:$B,MATCH(F2163,Categories!$A:$A,0)))</f>
        <v/>
      </c>
      <c r="J2163" s="4"/>
      <c r="K2163" s="4"/>
      <c r="L2163" s="4"/>
      <c r="M2163" s="4"/>
      <c r="N2163" s="4"/>
      <c r="O2163" s="4"/>
      <c r="P2163" s="4"/>
      <c r="Q2163" s="4"/>
    </row>
    <row r="2164">
      <c r="A2164" s="5">
        <v>2163.0</v>
      </c>
      <c r="B2164" s="5" t="s">
        <v>2661</v>
      </c>
      <c r="C2164" s="5" t="s">
        <v>96</v>
      </c>
      <c r="D2164" s="6">
        <f>IFERROR(__xludf.DUMMYFUNCTION("SPLIT(MID(C2164,2,LEN(C2164)-2), "","")"),572.0)</f>
        <v>572</v>
      </c>
      <c r="E2164" s="7"/>
      <c r="F2164" s="7"/>
      <c r="G2164" s="2" t="str">
        <f t="array" ref="G2164">IF(ISBLANK(D2164), "", INDEX(Categories!$B:$B,MATCH(D2164,Categories!$A:$A,0)))</f>
        <v>Groceries</v>
      </c>
      <c r="H2164" s="7" t="str">
        <f t="array" ref="H2164">IF(ISBLANK(E2164), "", INDEX(Categories!$B:$B,MATCH(E2164,Categories!$A:$A,0)))</f>
        <v/>
      </c>
      <c r="I2164" s="7" t="str">
        <f t="array" ref="I2164">IF(ISBLANK(F2164), "", INDEX(Categories!$B:$B,MATCH(F2164,Categories!$A:$A,0)))</f>
        <v/>
      </c>
      <c r="J2164" s="4"/>
      <c r="K2164" s="4"/>
      <c r="L2164" s="4"/>
      <c r="M2164" s="4"/>
      <c r="N2164" s="4"/>
      <c r="O2164" s="4"/>
      <c r="P2164" s="4"/>
      <c r="Q2164" s="4"/>
    </row>
    <row r="2165">
      <c r="A2165" s="5">
        <v>2164.0</v>
      </c>
      <c r="B2165" s="5" t="s">
        <v>2662</v>
      </c>
      <c r="C2165" s="5" t="s">
        <v>96</v>
      </c>
      <c r="D2165" s="6">
        <f>IFERROR(__xludf.DUMMYFUNCTION("SPLIT(MID(C2165,2,LEN(C2165)-2), "","")"),572.0)</f>
        <v>572</v>
      </c>
      <c r="E2165" s="7"/>
      <c r="F2165" s="7"/>
      <c r="G2165" s="2" t="str">
        <f t="array" ref="G2165">IF(ISBLANK(D2165), "", INDEX(Categories!$B:$B,MATCH(D2165,Categories!$A:$A,0)))</f>
        <v>Groceries</v>
      </c>
      <c r="H2165" s="7" t="str">
        <f t="array" ref="H2165">IF(ISBLANK(E2165), "", INDEX(Categories!$B:$B,MATCH(E2165,Categories!$A:$A,0)))</f>
        <v/>
      </c>
      <c r="I2165" s="7" t="str">
        <f t="array" ref="I2165">IF(ISBLANK(F2165), "", INDEX(Categories!$B:$B,MATCH(F2165,Categories!$A:$A,0)))</f>
        <v/>
      </c>
      <c r="J2165" s="4"/>
      <c r="K2165" s="4"/>
      <c r="L2165" s="4"/>
      <c r="M2165" s="4"/>
      <c r="N2165" s="4"/>
      <c r="O2165" s="4"/>
      <c r="P2165" s="4"/>
      <c r="Q2165" s="4"/>
    </row>
    <row r="2166">
      <c r="A2166" s="5">
        <v>2165.0</v>
      </c>
      <c r="B2166" s="5" t="s">
        <v>2663</v>
      </c>
      <c r="C2166" s="5" t="s">
        <v>170</v>
      </c>
      <c r="D2166" s="6">
        <f>IFERROR(__xludf.DUMMYFUNCTION("SPLIT(MID(C2166,2,LEN(C2166)-2), "","")"),189.0)</f>
        <v>189</v>
      </c>
      <c r="E2166" s="7"/>
      <c r="F2166" s="7"/>
      <c r="G2166" s="2" t="str">
        <f t="array" ref="G2166">IF(ISBLANK(D2166), "", INDEX(Categories!$B:$B,MATCH(D2166,Categories!$A:$A,0)))</f>
        <v>Pharmacies</v>
      </c>
      <c r="H2166" s="7" t="str">
        <f t="array" ref="H2166">IF(ISBLANK(E2166), "", INDEX(Categories!$B:$B,MATCH(E2166,Categories!$A:$A,0)))</f>
        <v/>
      </c>
      <c r="I2166" s="7" t="str">
        <f t="array" ref="I2166">IF(ISBLANK(F2166), "", INDEX(Categories!$B:$B,MATCH(F2166,Categories!$A:$A,0)))</f>
        <v/>
      </c>
      <c r="J2166" s="4"/>
      <c r="K2166" s="4"/>
      <c r="L2166" s="4"/>
      <c r="M2166" s="4"/>
      <c r="N2166" s="4"/>
      <c r="O2166" s="4"/>
      <c r="P2166" s="4"/>
      <c r="Q2166" s="4"/>
    </row>
    <row r="2167">
      <c r="A2167" s="5">
        <v>2166.0</v>
      </c>
      <c r="B2167" s="5" t="s">
        <v>2664</v>
      </c>
      <c r="C2167" s="5" t="s">
        <v>274</v>
      </c>
      <c r="D2167" s="6">
        <f>IFERROR(__xludf.DUMMYFUNCTION("SPLIT(MID(C2167,2,LEN(C2167)-2), "","")"),619.0)</f>
        <v>619</v>
      </c>
      <c r="E2167" s="7"/>
      <c r="F2167" s="7"/>
      <c r="G2167" s="2" t="str">
        <f t="array" ref="G2167">IF(ISBLANK(D2167), "", INDEX(Categories!$B:$B,MATCH(D2167,Categories!$A:$A,0)))</f>
        <v>Jewelry</v>
      </c>
      <c r="H2167" s="7" t="str">
        <f t="array" ref="H2167">IF(ISBLANK(E2167), "", INDEX(Categories!$B:$B,MATCH(E2167,Categories!$A:$A,0)))</f>
        <v/>
      </c>
      <c r="I2167" s="7" t="str">
        <f t="array" ref="I2167">IF(ISBLANK(F2167), "", INDEX(Categories!$B:$B,MATCH(F2167,Categories!$A:$A,0)))</f>
        <v/>
      </c>
      <c r="J2167" s="4"/>
      <c r="K2167" s="4"/>
      <c r="L2167" s="4"/>
      <c r="M2167" s="4"/>
      <c r="N2167" s="4"/>
      <c r="O2167" s="4"/>
      <c r="P2167" s="4"/>
      <c r="Q2167" s="4"/>
    </row>
    <row r="2168">
      <c r="A2168" s="5">
        <v>2167.0</v>
      </c>
      <c r="B2168" s="5" t="s">
        <v>2665</v>
      </c>
      <c r="C2168" s="5" t="s">
        <v>96</v>
      </c>
      <c r="D2168" s="6">
        <f>IFERROR(__xludf.DUMMYFUNCTION("SPLIT(MID(C2168,2,LEN(C2168)-2), "","")"),572.0)</f>
        <v>572</v>
      </c>
      <c r="E2168" s="7"/>
      <c r="F2168" s="7"/>
      <c r="G2168" s="2" t="str">
        <f t="array" ref="G2168">IF(ISBLANK(D2168), "", INDEX(Categories!$B:$B,MATCH(D2168,Categories!$A:$A,0)))</f>
        <v>Groceries</v>
      </c>
      <c r="H2168" s="7" t="str">
        <f t="array" ref="H2168">IF(ISBLANK(E2168), "", INDEX(Categories!$B:$B,MATCH(E2168,Categories!$A:$A,0)))</f>
        <v/>
      </c>
      <c r="I2168" s="7" t="str">
        <f t="array" ref="I2168">IF(ISBLANK(F2168), "", INDEX(Categories!$B:$B,MATCH(F2168,Categories!$A:$A,0)))</f>
        <v/>
      </c>
      <c r="J2168" s="4"/>
      <c r="K2168" s="4"/>
      <c r="L2168" s="4"/>
      <c r="M2168" s="4"/>
      <c r="N2168" s="4"/>
      <c r="O2168" s="4"/>
      <c r="P2168" s="4"/>
      <c r="Q2168" s="4"/>
    </row>
    <row r="2169">
      <c r="A2169" s="5">
        <v>2168.0</v>
      </c>
      <c r="B2169" s="5" t="s">
        <v>2666</v>
      </c>
      <c r="C2169" s="5" t="s">
        <v>2667</v>
      </c>
      <c r="D2169" s="6">
        <f>IFERROR(__xludf.DUMMYFUNCTION("SPLIT(MID(C2169,2,LEN(C2169)-2), "","")"),2537.0)</f>
        <v>2537</v>
      </c>
      <c r="E2169" s="7"/>
      <c r="F2169" s="7"/>
      <c r="G2169" s="2" t="str">
        <f t="array" ref="G2169">IF(ISBLANK(D2169), "", INDEX(Categories!$B:$B,MATCH(D2169,Categories!$A:$A,0)))</f>
        <v>Carpet Rug &amp; Upholstery Cleaning Equipment Rental</v>
      </c>
      <c r="H2169" s="7" t="str">
        <f t="array" ref="H2169">IF(ISBLANK(E2169), "", INDEX(Categories!$B:$B,MATCH(E2169,Categories!$A:$A,0)))</f>
        <v/>
      </c>
      <c r="I2169" s="7" t="str">
        <f t="array" ref="I2169">IF(ISBLANK(F2169), "", INDEX(Categories!$B:$B,MATCH(F2169,Categories!$A:$A,0)))</f>
        <v/>
      </c>
      <c r="J2169" s="4"/>
      <c r="K2169" s="4"/>
      <c r="L2169" s="4"/>
      <c r="M2169" s="4"/>
      <c r="N2169" s="4"/>
      <c r="O2169" s="4"/>
      <c r="P2169" s="4"/>
      <c r="Q2169" s="4"/>
    </row>
    <row r="2170">
      <c r="A2170" s="5">
        <v>2169.0</v>
      </c>
      <c r="B2170" s="5" t="s">
        <v>2668</v>
      </c>
      <c r="C2170" s="5" t="s">
        <v>303</v>
      </c>
      <c r="D2170" s="6">
        <f>IFERROR(__xludf.DUMMYFUNCTION("SPLIT(MID(C2170,2,LEN(C2170)-2), "","")"),1241.0)</f>
        <v>1241</v>
      </c>
      <c r="E2170" s="7"/>
      <c r="F2170" s="7"/>
      <c r="G2170" s="2" t="str">
        <f t="array" ref="G2170">IF(ISBLANK(D2170), "", INDEX(Categories!$B:$B,MATCH(D2170,Categories!$A:$A,0)))</f>
        <v>Clothing &amp; Accessories</v>
      </c>
      <c r="H2170" s="7" t="str">
        <f t="array" ref="H2170">IF(ISBLANK(E2170), "", INDEX(Categories!$B:$B,MATCH(E2170,Categories!$A:$A,0)))</f>
        <v/>
      </c>
      <c r="I2170" s="7" t="str">
        <f t="array" ref="I2170">IF(ISBLANK(F2170), "", INDEX(Categories!$B:$B,MATCH(F2170,Categories!$A:$A,0)))</f>
        <v/>
      </c>
      <c r="J2170" s="4"/>
      <c r="K2170" s="4"/>
      <c r="L2170" s="4"/>
      <c r="M2170" s="4"/>
      <c r="N2170" s="4"/>
      <c r="O2170" s="4"/>
      <c r="P2170" s="4"/>
      <c r="Q2170" s="4"/>
    </row>
    <row r="2171">
      <c r="A2171" s="5">
        <v>2170.0</v>
      </c>
      <c r="B2171" s="5" t="s">
        <v>2669</v>
      </c>
      <c r="C2171" s="5" t="s">
        <v>346</v>
      </c>
      <c r="D2171" s="6">
        <f>IFERROR(__xludf.DUMMYFUNCTION("SPLIT(MID(C2171,2,LEN(C2171)-2), "","")"),610.0)</f>
        <v>610</v>
      </c>
      <c r="E2171" s="7"/>
      <c r="F2171" s="7"/>
      <c r="G2171" s="2" t="str">
        <f t="array" ref="G2171">IF(ISBLANK(D2171), "", INDEX(Categories!$B:$B,MATCH(D2171,Categories!$A:$A,0)))</f>
        <v>Supermarkets &amp; Super Stores</v>
      </c>
      <c r="H2171" s="7" t="str">
        <f t="array" ref="H2171">IF(ISBLANK(E2171), "", INDEX(Categories!$B:$B,MATCH(E2171,Categories!$A:$A,0)))</f>
        <v/>
      </c>
      <c r="I2171" s="7" t="str">
        <f t="array" ref="I2171">IF(ISBLANK(F2171), "", INDEX(Categories!$B:$B,MATCH(F2171,Categories!$A:$A,0)))</f>
        <v/>
      </c>
      <c r="J2171" s="4"/>
      <c r="K2171" s="4"/>
      <c r="L2171" s="4"/>
      <c r="M2171" s="4"/>
      <c r="N2171" s="4"/>
      <c r="O2171" s="4"/>
      <c r="P2171" s="4"/>
      <c r="Q2171" s="4"/>
    </row>
    <row r="2172">
      <c r="A2172" s="5">
        <v>2171.0</v>
      </c>
      <c r="B2172" s="5" t="s">
        <v>2670</v>
      </c>
      <c r="C2172" s="5" t="s">
        <v>96</v>
      </c>
      <c r="D2172" s="6">
        <f>IFERROR(__xludf.DUMMYFUNCTION("SPLIT(MID(C2172,2,LEN(C2172)-2), "","")"),572.0)</f>
        <v>572</v>
      </c>
      <c r="E2172" s="7"/>
      <c r="F2172" s="7"/>
      <c r="G2172" s="2" t="str">
        <f t="array" ref="G2172">IF(ISBLANK(D2172), "", INDEX(Categories!$B:$B,MATCH(D2172,Categories!$A:$A,0)))</f>
        <v>Groceries</v>
      </c>
      <c r="H2172" s="7" t="str">
        <f t="array" ref="H2172">IF(ISBLANK(E2172), "", INDEX(Categories!$B:$B,MATCH(E2172,Categories!$A:$A,0)))</f>
        <v/>
      </c>
      <c r="I2172" s="7" t="str">
        <f t="array" ref="I2172">IF(ISBLANK(F2172), "", INDEX(Categories!$B:$B,MATCH(F2172,Categories!$A:$A,0)))</f>
        <v/>
      </c>
      <c r="J2172" s="4"/>
      <c r="K2172" s="4"/>
      <c r="L2172" s="4"/>
      <c r="M2172" s="4"/>
      <c r="N2172" s="4"/>
      <c r="O2172" s="4"/>
      <c r="P2172" s="4"/>
      <c r="Q2172" s="4"/>
    </row>
    <row r="2173">
      <c r="A2173" s="5">
        <v>2172.0</v>
      </c>
      <c r="B2173" s="5" t="s">
        <v>2671</v>
      </c>
      <c r="C2173" s="5" t="s">
        <v>346</v>
      </c>
      <c r="D2173" s="6">
        <f>IFERROR(__xludf.DUMMYFUNCTION("SPLIT(MID(C2173,2,LEN(C2173)-2), "","")"),610.0)</f>
        <v>610</v>
      </c>
      <c r="E2173" s="7"/>
      <c r="F2173" s="7"/>
      <c r="G2173" s="2" t="str">
        <f t="array" ref="G2173">IF(ISBLANK(D2173), "", INDEX(Categories!$B:$B,MATCH(D2173,Categories!$A:$A,0)))</f>
        <v>Supermarkets &amp; Super Stores</v>
      </c>
      <c r="H2173" s="7" t="str">
        <f t="array" ref="H2173">IF(ISBLANK(E2173), "", INDEX(Categories!$B:$B,MATCH(E2173,Categories!$A:$A,0)))</f>
        <v/>
      </c>
      <c r="I2173" s="7" t="str">
        <f t="array" ref="I2173">IF(ISBLANK(F2173), "", INDEX(Categories!$B:$B,MATCH(F2173,Categories!$A:$A,0)))</f>
        <v/>
      </c>
      <c r="J2173" s="4"/>
      <c r="K2173" s="4"/>
      <c r="L2173" s="4"/>
      <c r="M2173" s="4"/>
      <c r="N2173" s="4"/>
      <c r="O2173" s="4"/>
      <c r="P2173" s="4"/>
      <c r="Q2173" s="4"/>
    </row>
    <row r="2174">
      <c r="A2174" s="5">
        <v>2173.0</v>
      </c>
      <c r="B2174" s="5" t="s">
        <v>2672</v>
      </c>
      <c r="C2174" s="5" t="s">
        <v>303</v>
      </c>
      <c r="D2174" s="6">
        <f>IFERROR(__xludf.DUMMYFUNCTION("SPLIT(MID(C2174,2,LEN(C2174)-2), "","")"),1241.0)</f>
        <v>1241</v>
      </c>
      <c r="E2174" s="7"/>
      <c r="F2174" s="7"/>
      <c r="G2174" s="2" t="str">
        <f t="array" ref="G2174">IF(ISBLANK(D2174), "", INDEX(Categories!$B:$B,MATCH(D2174,Categories!$A:$A,0)))</f>
        <v>Clothing &amp; Accessories</v>
      </c>
      <c r="H2174" s="7" t="str">
        <f t="array" ref="H2174">IF(ISBLANK(E2174), "", INDEX(Categories!$B:$B,MATCH(E2174,Categories!$A:$A,0)))</f>
        <v/>
      </c>
      <c r="I2174" s="7" t="str">
        <f t="array" ref="I2174">IF(ISBLANK(F2174), "", INDEX(Categories!$B:$B,MATCH(F2174,Categories!$A:$A,0)))</f>
        <v/>
      </c>
      <c r="J2174" s="4"/>
      <c r="K2174" s="4"/>
      <c r="L2174" s="4"/>
      <c r="M2174" s="4"/>
      <c r="N2174" s="4"/>
      <c r="O2174" s="4"/>
      <c r="P2174" s="4"/>
      <c r="Q2174" s="4"/>
    </row>
    <row r="2175">
      <c r="A2175" s="5">
        <v>2174.0</v>
      </c>
      <c r="B2175" s="5" t="s">
        <v>2673</v>
      </c>
      <c r="C2175" s="5" t="s">
        <v>96</v>
      </c>
      <c r="D2175" s="6">
        <f>IFERROR(__xludf.DUMMYFUNCTION("SPLIT(MID(C2175,2,LEN(C2175)-2), "","")"),572.0)</f>
        <v>572</v>
      </c>
      <c r="E2175" s="7"/>
      <c r="F2175" s="7"/>
      <c r="G2175" s="2" t="str">
        <f t="array" ref="G2175">IF(ISBLANK(D2175), "", INDEX(Categories!$B:$B,MATCH(D2175,Categories!$A:$A,0)))</f>
        <v>Groceries</v>
      </c>
      <c r="H2175" s="7" t="str">
        <f t="array" ref="H2175">IF(ISBLANK(E2175), "", INDEX(Categories!$B:$B,MATCH(E2175,Categories!$A:$A,0)))</f>
        <v/>
      </c>
      <c r="I2175" s="7" t="str">
        <f t="array" ref="I2175">IF(ISBLANK(F2175), "", INDEX(Categories!$B:$B,MATCH(F2175,Categories!$A:$A,0)))</f>
        <v/>
      </c>
      <c r="J2175" s="4"/>
      <c r="K2175" s="4"/>
      <c r="L2175" s="4"/>
      <c r="M2175" s="4"/>
      <c r="N2175" s="4"/>
      <c r="O2175" s="4"/>
      <c r="P2175" s="4"/>
      <c r="Q2175" s="4"/>
    </row>
    <row r="2176">
      <c r="A2176" s="5">
        <v>2175.0</v>
      </c>
      <c r="B2176" s="5" t="s">
        <v>2674</v>
      </c>
      <c r="C2176" s="5" t="s">
        <v>96</v>
      </c>
      <c r="D2176" s="6">
        <f>IFERROR(__xludf.DUMMYFUNCTION("SPLIT(MID(C2176,2,LEN(C2176)-2), "","")"),572.0)</f>
        <v>572</v>
      </c>
      <c r="E2176" s="7"/>
      <c r="F2176" s="7"/>
      <c r="G2176" s="2" t="str">
        <f t="array" ref="G2176">IF(ISBLANK(D2176), "", INDEX(Categories!$B:$B,MATCH(D2176,Categories!$A:$A,0)))</f>
        <v>Groceries</v>
      </c>
      <c r="H2176" s="7" t="str">
        <f t="array" ref="H2176">IF(ISBLANK(E2176), "", INDEX(Categories!$B:$B,MATCH(E2176,Categories!$A:$A,0)))</f>
        <v/>
      </c>
      <c r="I2176" s="7" t="str">
        <f t="array" ref="I2176">IF(ISBLANK(F2176), "", INDEX(Categories!$B:$B,MATCH(F2176,Categories!$A:$A,0)))</f>
        <v/>
      </c>
      <c r="J2176" s="4"/>
      <c r="K2176" s="4"/>
      <c r="L2176" s="4"/>
      <c r="M2176" s="4"/>
      <c r="N2176" s="4"/>
      <c r="O2176" s="4"/>
      <c r="P2176" s="4"/>
      <c r="Q2176" s="4"/>
    </row>
    <row r="2177">
      <c r="A2177" s="5">
        <v>2176.0</v>
      </c>
      <c r="B2177" s="5" t="s">
        <v>2675</v>
      </c>
      <c r="C2177" s="5" t="s">
        <v>2676</v>
      </c>
      <c r="D2177" s="6">
        <f>IFERROR(__xludf.DUMMYFUNCTION("SPLIT(MID(C2177,2,LEN(C2177)-2), "","")"),1247.0)</f>
        <v>1247</v>
      </c>
      <c r="E2177" s="7">
        <f>IFERROR(__xludf.DUMMYFUNCTION("""COMPUTED_VALUE"""),1261.0)</f>
        <v>1261</v>
      </c>
      <c r="F2177" s="7">
        <f>IFERROR(__xludf.DUMMYFUNCTION("""COMPUTED_VALUE"""),1241.0)</f>
        <v>1241</v>
      </c>
      <c r="G2177" s="2" t="str">
        <f t="array" ref="G2177">IF(ISBLANK(D2177), "", INDEX(Categories!$B:$B,MATCH(D2177,Categories!$A:$A,0)))</f>
        <v>Clothing Children &amp; Infant</v>
      </c>
      <c r="H2177" s="7" t="str">
        <f t="array" ref="H2177">IF(ISBLANK(E2177), "", INDEX(Categories!$B:$B,MATCH(E2177,Categories!$A:$A,0)))</f>
        <v>Mens Clothing &amp; Furnishings</v>
      </c>
      <c r="I2177" s="7" t="str">
        <f t="array" ref="I2177">IF(ISBLANK(F2177), "", INDEX(Categories!$B:$B,MATCH(F2177,Categories!$A:$A,0)))</f>
        <v>Clothing &amp; Accessories</v>
      </c>
      <c r="J2177" s="4"/>
      <c r="K2177" s="4"/>
      <c r="L2177" s="4"/>
      <c r="M2177" s="4"/>
      <c r="N2177" s="4"/>
      <c r="O2177" s="4"/>
      <c r="P2177" s="4"/>
      <c r="Q2177" s="4"/>
    </row>
    <row r="2178">
      <c r="A2178" s="5">
        <v>2177.0</v>
      </c>
      <c r="B2178" s="5" t="s">
        <v>2677</v>
      </c>
      <c r="C2178" s="5" t="s">
        <v>2678</v>
      </c>
      <c r="D2178" s="6">
        <f>IFERROR(__xludf.DUMMYFUNCTION("SPLIT(MID(C2178,2,LEN(C2178)-2), "","")"),29.0)</f>
        <v>29</v>
      </c>
      <c r="E2178" s="7"/>
      <c r="F2178" s="7"/>
      <c r="G2178" s="2" t="str">
        <f t="array" ref="G2178">IF(ISBLANK(D2178), "", INDEX(Categories!$B:$B,MATCH(D2178,Categories!$A:$A,0)))</f>
        <v>Furniture Outdoor</v>
      </c>
      <c r="H2178" s="7" t="str">
        <f t="array" ref="H2178">IF(ISBLANK(E2178), "", INDEX(Categories!$B:$B,MATCH(E2178,Categories!$A:$A,0)))</f>
        <v/>
      </c>
      <c r="I2178" s="7" t="str">
        <f t="array" ref="I2178">IF(ISBLANK(F2178), "", INDEX(Categories!$B:$B,MATCH(F2178,Categories!$A:$A,0)))</f>
        <v/>
      </c>
      <c r="J2178" s="4"/>
      <c r="K2178" s="4"/>
      <c r="L2178" s="4"/>
      <c r="M2178" s="4"/>
      <c r="N2178" s="4"/>
      <c r="O2178" s="4"/>
      <c r="P2178" s="4"/>
      <c r="Q2178" s="4"/>
    </row>
    <row r="2179">
      <c r="A2179" s="5">
        <v>2178.0</v>
      </c>
      <c r="B2179" s="5" t="s">
        <v>2679</v>
      </c>
      <c r="C2179" s="5" t="s">
        <v>346</v>
      </c>
      <c r="D2179" s="6">
        <f>IFERROR(__xludf.DUMMYFUNCTION("SPLIT(MID(C2179,2,LEN(C2179)-2), "","")"),610.0)</f>
        <v>610</v>
      </c>
      <c r="E2179" s="7"/>
      <c r="F2179" s="7"/>
      <c r="G2179" s="2" t="str">
        <f t="array" ref="G2179">IF(ISBLANK(D2179), "", INDEX(Categories!$B:$B,MATCH(D2179,Categories!$A:$A,0)))</f>
        <v>Supermarkets &amp; Super Stores</v>
      </c>
      <c r="H2179" s="7" t="str">
        <f t="array" ref="H2179">IF(ISBLANK(E2179), "", INDEX(Categories!$B:$B,MATCH(E2179,Categories!$A:$A,0)))</f>
        <v/>
      </c>
      <c r="I2179" s="7" t="str">
        <f t="array" ref="I2179">IF(ISBLANK(F2179), "", INDEX(Categories!$B:$B,MATCH(F2179,Categories!$A:$A,0)))</f>
        <v/>
      </c>
      <c r="J2179" s="4"/>
      <c r="K2179" s="4"/>
      <c r="L2179" s="4"/>
      <c r="M2179" s="4"/>
      <c r="N2179" s="4"/>
      <c r="O2179" s="4"/>
      <c r="P2179" s="4"/>
      <c r="Q2179" s="4"/>
    </row>
    <row r="2180">
      <c r="A2180" s="5">
        <v>2179.0</v>
      </c>
      <c r="B2180" s="5" t="s">
        <v>2680</v>
      </c>
      <c r="C2180" s="5" t="s">
        <v>2681</v>
      </c>
      <c r="D2180" s="6">
        <f>IFERROR(__xludf.DUMMYFUNCTION("SPLIT(MID(C2180,2,LEN(C2180)-2), "","")"),1110.0)</f>
        <v>1110</v>
      </c>
      <c r="E2180" s="7"/>
      <c r="F2180" s="7"/>
      <c r="G2180" s="2" t="str">
        <f t="array" ref="G2180">IF(ISBLANK(D2180), "", INDEX(Categories!$B:$B,MATCH(D2180,Categories!$A:$A,0)))</f>
        <v>Luggage</v>
      </c>
      <c r="H2180" s="7" t="str">
        <f t="array" ref="H2180">IF(ISBLANK(E2180), "", INDEX(Categories!$B:$B,MATCH(E2180,Categories!$A:$A,0)))</f>
        <v/>
      </c>
      <c r="I2180" s="7" t="str">
        <f t="array" ref="I2180">IF(ISBLANK(F2180), "", INDEX(Categories!$B:$B,MATCH(F2180,Categories!$A:$A,0)))</f>
        <v/>
      </c>
      <c r="J2180" s="4"/>
      <c r="K2180" s="4"/>
      <c r="L2180" s="4"/>
      <c r="M2180" s="4"/>
      <c r="N2180" s="4"/>
      <c r="O2180" s="4"/>
      <c r="P2180" s="4"/>
      <c r="Q2180" s="4"/>
    </row>
    <row r="2181">
      <c r="A2181" s="5">
        <v>2180.0</v>
      </c>
      <c r="B2181" s="5" t="s">
        <v>2682</v>
      </c>
      <c r="C2181" s="5" t="s">
        <v>96</v>
      </c>
      <c r="D2181" s="6">
        <f>IFERROR(__xludf.DUMMYFUNCTION("SPLIT(MID(C2181,2,LEN(C2181)-2), "","")"),572.0)</f>
        <v>572</v>
      </c>
      <c r="E2181" s="7"/>
      <c r="F2181" s="7"/>
      <c r="G2181" s="2" t="str">
        <f t="array" ref="G2181">IF(ISBLANK(D2181), "", INDEX(Categories!$B:$B,MATCH(D2181,Categories!$A:$A,0)))</f>
        <v>Groceries</v>
      </c>
      <c r="H2181" s="7" t="str">
        <f t="array" ref="H2181">IF(ISBLANK(E2181), "", INDEX(Categories!$B:$B,MATCH(E2181,Categories!$A:$A,0)))</f>
        <v/>
      </c>
      <c r="I2181" s="7" t="str">
        <f t="array" ref="I2181">IF(ISBLANK(F2181), "", INDEX(Categories!$B:$B,MATCH(F2181,Categories!$A:$A,0)))</f>
        <v/>
      </c>
      <c r="J2181" s="4"/>
      <c r="K2181" s="4"/>
      <c r="L2181" s="4"/>
      <c r="M2181" s="4"/>
      <c r="N2181" s="4"/>
      <c r="O2181" s="4"/>
      <c r="P2181" s="4"/>
      <c r="Q2181" s="4"/>
    </row>
    <row r="2182">
      <c r="A2182" s="5">
        <v>2181.0</v>
      </c>
      <c r="B2182" s="5" t="s">
        <v>2683</v>
      </c>
      <c r="C2182" s="5" t="s">
        <v>2684</v>
      </c>
      <c r="D2182" s="6">
        <f>IFERROR(__xludf.DUMMYFUNCTION("SPLIT(MID(C2182,2,LEN(C2182)-2), "","")"),2441.0)</f>
        <v>2441</v>
      </c>
      <c r="E2182" s="7"/>
      <c r="F2182" s="7"/>
      <c r="G2182" s="2" t="str">
        <f t="array" ref="G2182">IF(ISBLANK(D2182), "", INDEX(Categories!$B:$B,MATCH(D2182,Categories!$A:$A,0)))</f>
        <v>Appliances Household Major Dealers &amp; Services</v>
      </c>
      <c r="H2182" s="7" t="str">
        <f t="array" ref="H2182">IF(ISBLANK(E2182), "", INDEX(Categories!$B:$B,MATCH(E2182,Categories!$A:$A,0)))</f>
        <v/>
      </c>
      <c r="I2182" s="7" t="str">
        <f t="array" ref="I2182">IF(ISBLANK(F2182), "", INDEX(Categories!$B:$B,MATCH(F2182,Categories!$A:$A,0)))</f>
        <v/>
      </c>
      <c r="J2182" s="4"/>
      <c r="K2182" s="4"/>
      <c r="L2182" s="4"/>
      <c r="M2182" s="4"/>
      <c r="N2182" s="4"/>
      <c r="O2182" s="4"/>
      <c r="P2182" s="4"/>
      <c r="Q2182" s="4"/>
    </row>
    <row r="2183">
      <c r="A2183" s="5">
        <v>2182.0</v>
      </c>
      <c r="B2183" s="5" t="s">
        <v>2685</v>
      </c>
      <c r="C2183" s="5" t="s">
        <v>346</v>
      </c>
      <c r="D2183" s="6">
        <f>IFERROR(__xludf.DUMMYFUNCTION("SPLIT(MID(C2183,2,LEN(C2183)-2), "","")"),610.0)</f>
        <v>610</v>
      </c>
      <c r="E2183" s="7"/>
      <c r="F2183" s="7"/>
      <c r="G2183" s="2" t="str">
        <f t="array" ref="G2183">IF(ISBLANK(D2183), "", INDEX(Categories!$B:$B,MATCH(D2183,Categories!$A:$A,0)))</f>
        <v>Supermarkets &amp; Super Stores</v>
      </c>
      <c r="H2183" s="7" t="str">
        <f t="array" ref="H2183">IF(ISBLANK(E2183), "", INDEX(Categories!$B:$B,MATCH(E2183,Categories!$A:$A,0)))</f>
        <v/>
      </c>
      <c r="I2183" s="7" t="str">
        <f t="array" ref="I2183">IF(ISBLANK(F2183), "", INDEX(Categories!$B:$B,MATCH(F2183,Categories!$A:$A,0)))</f>
        <v/>
      </c>
      <c r="J2183" s="4"/>
      <c r="K2183" s="4"/>
      <c r="L2183" s="4"/>
      <c r="M2183" s="4"/>
      <c r="N2183" s="4"/>
      <c r="O2183" s="4"/>
      <c r="P2183" s="4"/>
      <c r="Q2183" s="4"/>
    </row>
    <row r="2184">
      <c r="A2184" s="5">
        <v>2183.0</v>
      </c>
      <c r="B2184" s="5" t="s">
        <v>2686</v>
      </c>
      <c r="C2184" s="5" t="s">
        <v>223</v>
      </c>
      <c r="D2184" s="6">
        <f>IFERROR(__xludf.DUMMYFUNCTION("SPLIT(MID(C2184,2,LEN(C2184)-2), "","")"),545.0)</f>
        <v>545</v>
      </c>
      <c r="E2184" s="7"/>
      <c r="F2184" s="7"/>
      <c r="G2184" s="2" t="str">
        <f t="array" ref="G2184">IF(ISBLANK(D2184), "", INDEX(Categories!$B:$B,MATCH(D2184,Categories!$A:$A,0)))</f>
        <v>Beauty Supplies &amp; Equipment</v>
      </c>
      <c r="H2184" s="7" t="str">
        <f t="array" ref="H2184">IF(ISBLANK(E2184), "", INDEX(Categories!$B:$B,MATCH(E2184,Categories!$A:$A,0)))</f>
        <v/>
      </c>
      <c r="I2184" s="7" t="str">
        <f t="array" ref="I2184">IF(ISBLANK(F2184), "", INDEX(Categories!$B:$B,MATCH(F2184,Categories!$A:$A,0)))</f>
        <v/>
      </c>
      <c r="J2184" s="4"/>
      <c r="K2184" s="4"/>
      <c r="L2184" s="4"/>
      <c r="M2184" s="4"/>
      <c r="N2184" s="4"/>
      <c r="O2184" s="4"/>
      <c r="P2184" s="4"/>
      <c r="Q2184" s="4"/>
    </row>
    <row r="2185">
      <c r="A2185" s="5">
        <v>2184.0</v>
      </c>
      <c r="B2185" s="5" t="s">
        <v>2687</v>
      </c>
      <c r="C2185" s="5" t="s">
        <v>346</v>
      </c>
      <c r="D2185" s="6">
        <f>IFERROR(__xludf.DUMMYFUNCTION("SPLIT(MID(C2185,2,LEN(C2185)-2), "","")"),610.0)</f>
        <v>610</v>
      </c>
      <c r="E2185" s="7"/>
      <c r="F2185" s="7"/>
      <c r="G2185" s="2" t="str">
        <f t="array" ref="G2185">IF(ISBLANK(D2185), "", INDEX(Categories!$B:$B,MATCH(D2185,Categories!$A:$A,0)))</f>
        <v>Supermarkets &amp; Super Stores</v>
      </c>
      <c r="H2185" s="7" t="str">
        <f t="array" ref="H2185">IF(ISBLANK(E2185), "", INDEX(Categories!$B:$B,MATCH(E2185,Categories!$A:$A,0)))</f>
        <v/>
      </c>
      <c r="I2185" s="7" t="str">
        <f t="array" ref="I2185">IF(ISBLANK(F2185), "", INDEX(Categories!$B:$B,MATCH(F2185,Categories!$A:$A,0)))</f>
        <v/>
      </c>
      <c r="J2185" s="4"/>
      <c r="K2185" s="4"/>
      <c r="L2185" s="4"/>
      <c r="M2185" s="4"/>
      <c r="N2185" s="4"/>
      <c r="O2185" s="4"/>
      <c r="P2185" s="4"/>
      <c r="Q2185" s="4"/>
    </row>
    <row r="2186">
      <c r="A2186" s="5">
        <v>2185.0</v>
      </c>
      <c r="B2186" s="5" t="s">
        <v>2688</v>
      </c>
      <c r="C2186" s="5" t="s">
        <v>346</v>
      </c>
      <c r="D2186" s="6">
        <f>IFERROR(__xludf.DUMMYFUNCTION("SPLIT(MID(C2186,2,LEN(C2186)-2), "","")"),610.0)</f>
        <v>610</v>
      </c>
      <c r="E2186" s="7"/>
      <c r="F2186" s="7"/>
      <c r="G2186" s="2" t="str">
        <f t="array" ref="G2186">IF(ISBLANK(D2186), "", INDEX(Categories!$B:$B,MATCH(D2186,Categories!$A:$A,0)))</f>
        <v>Supermarkets &amp; Super Stores</v>
      </c>
      <c r="H2186" s="7" t="str">
        <f t="array" ref="H2186">IF(ISBLANK(E2186), "", INDEX(Categories!$B:$B,MATCH(E2186,Categories!$A:$A,0)))</f>
        <v/>
      </c>
      <c r="I2186" s="7" t="str">
        <f t="array" ref="I2186">IF(ISBLANK(F2186), "", INDEX(Categories!$B:$B,MATCH(F2186,Categories!$A:$A,0)))</f>
        <v/>
      </c>
      <c r="J2186" s="4"/>
      <c r="K2186" s="4"/>
      <c r="L2186" s="4"/>
      <c r="M2186" s="4"/>
      <c r="N2186" s="4"/>
      <c r="O2186" s="4"/>
      <c r="P2186" s="4"/>
      <c r="Q2186" s="4"/>
    </row>
    <row r="2187">
      <c r="A2187" s="5">
        <v>2186.0</v>
      </c>
      <c r="B2187" s="5" t="s">
        <v>2689</v>
      </c>
      <c r="C2187" s="5" t="s">
        <v>346</v>
      </c>
      <c r="D2187" s="6">
        <f>IFERROR(__xludf.DUMMYFUNCTION("SPLIT(MID(C2187,2,LEN(C2187)-2), "","")"),610.0)</f>
        <v>610</v>
      </c>
      <c r="E2187" s="7"/>
      <c r="F2187" s="7"/>
      <c r="G2187" s="2" t="str">
        <f t="array" ref="G2187">IF(ISBLANK(D2187), "", INDEX(Categories!$B:$B,MATCH(D2187,Categories!$A:$A,0)))</f>
        <v>Supermarkets &amp; Super Stores</v>
      </c>
      <c r="H2187" s="7" t="str">
        <f t="array" ref="H2187">IF(ISBLANK(E2187), "", INDEX(Categories!$B:$B,MATCH(E2187,Categories!$A:$A,0)))</f>
        <v/>
      </c>
      <c r="I2187" s="7" t="str">
        <f t="array" ref="I2187">IF(ISBLANK(F2187), "", INDEX(Categories!$B:$B,MATCH(F2187,Categories!$A:$A,0)))</f>
        <v/>
      </c>
      <c r="J2187" s="4"/>
      <c r="K2187" s="4"/>
      <c r="L2187" s="4"/>
      <c r="M2187" s="4"/>
      <c r="N2187" s="4"/>
      <c r="O2187" s="4"/>
      <c r="P2187" s="4"/>
      <c r="Q2187" s="4"/>
    </row>
    <row r="2188">
      <c r="A2188" s="5">
        <v>2187.0</v>
      </c>
      <c r="B2188" s="5" t="s">
        <v>2690</v>
      </c>
      <c r="C2188" s="5" t="s">
        <v>96</v>
      </c>
      <c r="D2188" s="6">
        <f>IFERROR(__xludf.DUMMYFUNCTION("SPLIT(MID(C2188,2,LEN(C2188)-2), "","")"),572.0)</f>
        <v>572</v>
      </c>
      <c r="E2188" s="7"/>
      <c r="F2188" s="7"/>
      <c r="G2188" s="2" t="str">
        <f t="array" ref="G2188">IF(ISBLANK(D2188), "", INDEX(Categories!$B:$B,MATCH(D2188,Categories!$A:$A,0)))</f>
        <v>Groceries</v>
      </c>
      <c r="H2188" s="7" t="str">
        <f t="array" ref="H2188">IF(ISBLANK(E2188), "", INDEX(Categories!$B:$B,MATCH(E2188,Categories!$A:$A,0)))</f>
        <v/>
      </c>
      <c r="I2188" s="7" t="str">
        <f t="array" ref="I2188">IF(ISBLANK(F2188), "", INDEX(Categories!$B:$B,MATCH(F2188,Categories!$A:$A,0)))</f>
        <v/>
      </c>
      <c r="J2188" s="4"/>
      <c r="K2188" s="4"/>
      <c r="L2188" s="4"/>
      <c r="M2188" s="4"/>
      <c r="N2188" s="4"/>
      <c r="O2188" s="4"/>
      <c r="P2188" s="4"/>
      <c r="Q2188" s="4"/>
    </row>
    <row r="2189">
      <c r="A2189" s="5">
        <v>2188.0</v>
      </c>
      <c r="B2189" s="5" t="s">
        <v>2691</v>
      </c>
      <c r="C2189" s="5" t="s">
        <v>109</v>
      </c>
      <c r="D2189" s="6">
        <f>IFERROR(__xludf.DUMMYFUNCTION("SPLIT(MID(C2189,2,LEN(C2189)-2), "","")"),741.0)</f>
        <v>741</v>
      </c>
      <c r="E2189" s="7"/>
      <c r="F2189" s="7"/>
      <c r="G2189" s="2" t="str">
        <f t="array" ref="G2189">IF(ISBLANK(D2189), "", INDEX(Categories!$B:$B,MATCH(D2189,Categories!$A:$A,0)))</f>
        <v>Shoes</v>
      </c>
      <c r="H2189" s="7" t="str">
        <f t="array" ref="H2189">IF(ISBLANK(E2189), "", INDEX(Categories!$B:$B,MATCH(E2189,Categories!$A:$A,0)))</f>
        <v/>
      </c>
      <c r="I2189" s="7" t="str">
        <f t="array" ref="I2189">IF(ISBLANK(F2189), "", INDEX(Categories!$B:$B,MATCH(F2189,Categories!$A:$A,0)))</f>
        <v/>
      </c>
      <c r="J2189" s="4"/>
      <c r="K2189" s="4"/>
      <c r="L2189" s="4"/>
      <c r="M2189" s="4"/>
      <c r="N2189" s="4"/>
      <c r="O2189" s="4"/>
      <c r="P2189" s="4"/>
      <c r="Q2189" s="4"/>
    </row>
    <row r="2190">
      <c r="A2190" s="5">
        <v>2189.0</v>
      </c>
      <c r="B2190" s="5" t="s">
        <v>2692</v>
      </c>
      <c r="C2190" s="5" t="s">
        <v>96</v>
      </c>
      <c r="D2190" s="6">
        <f>IFERROR(__xludf.DUMMYFUNCTION("SPLIT(MID(C2190,2,LEN(C2190)-2), "","")"),572.0)</f>
        <v>572</v>
      </c>
      <c r="E2190" s="7"/>
      <c r="F2190" s="7"/>
      <c r="G2190" s="2" t="str">
        <f t="array" ref="G2190">IF(ISBLANK(D2190), "", INDEX(Categories!$B:$B,MATCH(D2190,Categories!$A:$A,0)))</f>
        <v>Groceries</v>
      </c>
      <c r="H2190" s="7" t="str">
        <f t="array" ref="H2190">IF(ISBLANK(E2190), "", INDEX(Categories!$B:$B,MATCH(E2190,Categories!$A:$A,0)))</f>
        <v/>
      </c>
      <c r="I2190" s="7" t="str">
        <f t="array" ref="I2190">IF(ISBLANK(F2190), "", INDEX(Categories!$B:$B,MATCH(F2190,Categories!$A:$A,0)))</f>
        <v/>
      </c>
      <c r="J2190" s="4"/>
      <c r="K2190" s="4"/>
      <c r="L2190" s="4"/>
      <c r="M2190" s="4"/>
      <c r="N2190" s="4"/>
      <c r="O2190" s="4"/>
      <c r="P2190" s="4"/>
      <c r="Q2190" s="4"/>
    </row>
    <row r="2191">
      <c r="A2191" s="5">
        <v>2190.0</v>
      </c>
      <c r="B2191" s="5" t="s">
        <v>2693</v>
      </c>
      <c r="C2191" s="5" t="s">
        <v>119</v>
      </c>
      <c r="D2191" s="6">
        <f>IFERROR(__xludf.DUMMYFUNCTION("SPLIT(MID(C2191,2,LEN(C2191)-2), "","")"),590.0)</f>
        <v>590</v>
      </c>
      <c r="E2191" s="7"/>
      <c r="F2191" s="7"/>
      <c r="G2191" s="2" t="str">
        <f t="array" ref="G2191">IF(ISBLANK(D2191), "", INDEX(Categories!$B:$B,MATCH(D2191,Categories!$A:$A,0)))</f>
        <v>Grocers</v>
      </c>
      <c r="H2191" s="7" t="str">
        <f t="array" ref="H2191">IF(ISBLANK(E2191), "", INDEX(Categories!$B:$B,MATCH(E2191,Categories!$A:$A,0)))</f>
        <v/>
      </c>
      <c r="I2191" s="7" t="str">
        <f t="array" ref="I2191">IF(ISBLANK(F2191), "", INDEX(Categories!$B:$B,MATCH(F2191,Categories!$A:$A,0)))</f>
        <v/>
      </c>
      <c r="J2191" s="4"/>
      <c r="K2191" s="4"/>
      <c r="L2191" s="4"/>
      <c r="M2191" s="4"/>
      <c r="N2191" s="4"/>
      <c r="O2191" s="4"/>
      <c r="P2191" s="4"/>
      <c r="Q2191" s="4"/>
    </row>
    <row r="2192">
      <c r="A2192" s="5">
        <v>2191.0</v>
      </c>
      <c r="B2192" s="5" t="s">
        <v>2694</v>
      </c>
      <c r="C2192" s="5" t="s">
        <v>96</v>
      </c>
      <c r="D2192" s="6">
        <f>IFERROR(__xludf.DUMMYFUNCTION("SPLIT(MID(C2192,2,LEN(C2192)-2), "","")"),572.0)</f>
        <v>572</v>
      </c>
      <c r="E2192" s="7"/>
      <c r="F2192" s="7"/>
      <c r="G2192" s="2" t="str">
        <f t="array" ref="G2192">IF(ISBLANK(D2192), "", INDEX(Categories!$B:$B,MATCH(D2192,Categories!$A:$A,0)))</f>
        <v>Groceries</v>
      </c>
      <c r="H2192" s="7" t="str">
        <f t="array" ref="H2192">IF(ISBLANK(E2192), "", INDEX(Categories!$B:$B,MATCH(E2192,Categories!$A:$A,0)))</f>
        <v/>
      </c>
      <c r="I2192" s="7" t="str">
        <f t="array" ref="I2192">IF(ISBLANK(F2192), "", INDEX(Categories!$B:$B,MATCH(F2192,Categories!$A:$A,0)))</f>
        <v/>
      </c>
      <c r="J2192" s="4"/>
      <c r="K2192" s="4"/>
      <c r="L2192" s="4"/>
      <c r="M2192" s="4"/>
      <c r="N2192" s="4"/>
      <c r="O2192" s="4"/>
      <c r="P2192" s="4"/>
      <c r="Q2192" s="4"/>
    </row>
    <row r="2193">
      <c r="A2193" s="5">
        <v>2192.0</v>
      </c>
      <c r="B2193" s="5" t="s">
        <v>2695</v>
      </c>
      <c r="C2193" s="5" t="s">
        <v>96</v>
      </c>
      <c r="D2193" s="6">
        <f>IFERROR(__xludf.DUMMYFUNCTION("SPLIT(MID(C2193,2,LEN(C2193)-2), "","")"),572.0)</f>
        <v>572</v>
      </c>
      <c r="E2193" s="7"/>
      <c r="F2193" s="7"/>
      <c r="G2193" s="2" t="str">
        <f t="array" ref="G2193">IF(ISBLANK(D2193), "", INDEX(Categories!$B:$B,MATCH(D2193,Categories!$A:$A,0)))</f>
        <v>Groceries</v>
      </c>
      <c r="H2193" s="7" t="str">
        <f t="array" ref="H2193">IF(ISBLANK(E2193), "", INDEX(Categories!$B:$B,MATCH(E2193,Categories!$A:$A,0)))</f>
        <v/>
      </c>
      <c r="I2193" s="7" t="str">
        <f t="array" ref="I2193">IF(ISBLANK(F2193), "", INDEX(Categories!$B:$B,MATCH(F2193,Categories!$A:$A,0)))</f>
        <v/>
      </c>
      <c r="J2193" s="4"/>
      <c r="K2193" s="4"/>
      <c r="L2193" s="4"/>
      <c r="M2193" s="4"/>
      <c r="N2193" s="4"/>
      <c r="O2193" s="4"/>
      <c r="P2193" s="4"/>
      <c r="Q2193" s="4"/>
    </row>
    <row r="2194">
      <c r="A2194" s="5">
        <v>2193.0</v>
      </c>
      <c r="B2194" s="5" t="s">
        <v>2696</v>
      </c>
      <c r="C2194" s="5" t="s">
        <v>346</v>
      </c>
      <c r="D2194" s="6">
        <f>IFERROR(__xludf.DUMMYFUNCTION("SPLIT(MID(C2194,2,LEN(C2194)-2), "","")"),610.0)</f>
        <v>610</v>
      </c>
      <c r="E2194" s="7"/>
      <c r="F2194" s="7"/>
      <c r="G2194" s="2" t="str">
        <f t="array" ref="G2194">IF(ISBLANK(D2194), "", INDEX(Categories!$B:$B,MATCH(D2194,Categories!$A:$A,0)))</f>
        <v>Supermarkets &amp; Super Stores</v>
      </c>
      <c r="H2194" s="7" t="str">
        <f t="array" ref="H2194">IF(ISBLANK(E2194), "", INDEX(Categories!$B:$B,MATCH(E2194,Categories!$A:$A,0)))</f>
        <v/>
      </c>
      <c r="I2194" s="7" t="str">
        <f t="array" ref="I2194">IF(ISBLANK(F2194), "", INDEX(Categories!$B:$B,MATCH(F2194,Categories!$A:$A,0)))</f>
        <v/>
      </c>
      <c r="J2194" s="4"/>
      <c r="K2194" s="4"/>
      <c r="L2194" s="4"/>
      <c r="M2194" s="4"/>
      <c r="N2194" s="4"/>
      <c r="O2194" s="4"/>
      <c r="P2194" s="4"/>
      <c r="Q2194" s="4"/>
    </row>
    <row r="2195">
      <c r="A2195" s="5">
        <v>2194.0</v>
      </c>
      <c r="B2195" s="5" t="s">
        <v>2697</v>
      </c>
      <c r="C2195" s="5" t="s">
        <v>346</v>
      </c>
      <c r="D2195" s="6">
        <f>IFERROR(__xludf.DUMMYFUNCTION("SPLIT(MID(C2195,2,LEN(C2195)-2), "","")"),610.0)</f>
        <v>610</v>
      </c>
      <c r="E2195" s="7"/>
      <c r="F2195" s="7"/>
      <c r="G2195" s="2" t="str">
        <f t="array" ref="G2195">IF(ISBLANK(D2195), "", INDEX(Categories!$B:$B,MATCH(D2195,Categories!$A:$A,0)))</f>
        <v>Supermarkets &amp; Super Stores</v>
      </c>
      <c r="H2195" s="7" t="str">
        <f t="array" ref="H2195">IF(ISBLANK(E2195), "", INDEX(Categories!$B:$B,MATCH(E2195,Categories!$A:$A,0)))</f>
        <v/>
      </c>
      <c r="I2195" s="7" t="str">
        <f t="array" ref="I2195">IF(ISBLANK(F2195), "", INDEX(Categories!$B:$B,MATCH(F2195,Categories!$A:$A,0)))</f>
        <v/>
      </c>
      <c r="J2195" s="4"/>
      <c r="K2195" s="4"/>
      <c r="L2195" s="4"/>
      <c r="M2195" s="4"/>
      <c r="N2195" s="4"/>
      <c r="O2195" s="4"/>
      <c r="P2195" s="4"/>
      <c r="Q2195" s="4"/>
    </row>
    <row r="2196">
      <c r="A2196" s="5">
        <v>2195.0</v>
      </c>
      <c r="B2196" s="5" t="s">
        <v>2698</v>
      </c>
      <c r="C2196" s="5" t="s">
        <v>1895</v>
      </c>
      <c r="D2196" s="6">
        <f>IFERROR(__xludf.DUMMYFUNCTION("SPLIT(MID(C2196,2,LEN(C2196)-2), "","")"),2285.0)</f>
        <v>2285</v>
      </c>
      <c r="E2196" s="7"/>
      <c r="F2196" s="7"/>
      <c r="G2196" s="2" t="str">
        <f t="array" ref="G2196">IF(ISBLANK(D2196), "", INDEX(Categories!$B:$B,MATCH(D2196,Categories!$A:$A,0)))</f>
        <v>Amusement Places</v>
      </c>
      <c r="H2196" s="7" t="str">
        <f t="array" ref="H2196">IF(ISBLANK(E2196), "", INDEX(Categories!$B:$B,MATCH(E2196,Categories!$A:$A,0)))</f>
        <v/>
      </c>
      <c r="I2196" s="7" t="str">
        <f t="array" ref="I2196">IF(ISBLANK(F2196), "", INDEX(Categories!$B:$B,MATCH(F2196,Categories!$A:$A,0)))</f>
        <v/>
      </c>
      <c r="J2196" s="4"/>
      <c r="K2196" s="4"/>
      <c r="L2196" s="4"/>
      <c r="M2196" s="4"/>
      <c r="N2196" s="4"/>
      <c r="O2196" s="4"/>
      <c r="P2196" s="4"/>
      <c r="Q2196" s="4"/>
    </row>
    <row r="2197">
      <c r="A2197" s="5">
        <v>2196.0</v>
      </c>
      <c r="B2197" s="5" t="s">
        <v>2699</v>
      </c>
      <c r="C2197" s="5" t="s">
        <v>1138</v>
      </c>
      <c r="D2197" s="6">
        <f>IFERROR(__xludf.DUMMYFUNCTION("SPLIT(MID(C2197,2,LEN(C2197)-2), "","")"),116.0)</f>
        <v>116</v>
      </c>
      <c r="E2197" s="7"/>
      <c r="F2197" s="7"/>
      <c r="G2197" s="2" t="str">
        <f t="array" ref="G2197">IF(ISBLANK(D2197), "", INDEX(Categories!$B:$B,MATCH(D2197,Categories!$A:$A,0)))</f>
        <v>Florists</v>
      </c>
      <c r="H2197" s="7" t="str">
        <f t="array" ref="H2197">IF(ISBLANK(E2197), "", INDEX(Categories!$B:$B,MATCH(E2197,Categories!$A:$A,0)))</f>
        <v/>
      </c>
      <c r="I2197" s="7" t="str">
        <f t="array" ref="I2197">IF(ISBLANK(F2197), "", INDEX(Categories!$B:$B,MATCH(F2197,Categories!$A:$A,0)))</f>
        <v/>
      </c>
      <c r="J2197" s="4"/>
      <c r="K2197" s="4"/>
      <c r="L2197" s="4"/>
      <c r="M2197" s="4"/>
      <c r="N2197" s="4"/>
      <c r="O2197" s="4"/>
      <c r="P2197" s="4"/>
      <c r="Q2197" s="4"/>
    </row>
    <row r="2198">
      <c r="A2198" s="5">
        <v>2197.0</v>
      </c>
      <c r="B2198" s="5" t="s">
        <v>2700</v>
      </c>
      <c r="C2198" s="5" t="s">
        <v>96</v>
      </c>
      <c r="D2198" s="6">
        <f>IFERROR(__xludf.DUMMYFUNCTION("SPLIT(MID(C2198,2,LEN(C2198)-2), "","")"),572.0)</f>
        <v>572</v>
      </c>
      <c r="E2198" s="7"/>
      <c r="F2198" s="7"/>
      <c r="G2198" s="2" t="str">
        <f t="array" ref="G2198">IF(ISBLANK(D2198), "", INDEX(Categories!$B:$B,MATCH(D2198,Categories!$A:$A,0)))</f>
        <v>Groceries</v>
      </c>
      <c r="H2198" s="7" t="str">
        <f t="array" ref="H2198">IF(ISBLANK(E2198), "", INDEX(Categories!$B:$B,MATCH(E2198,Categories!$A:$A,0)))</f>
        <v/>
      </c>
      <c r="I2198" s="7" t="str">
        <f t="array" ref="I2198">IF(ISBLANK(F2198), "", INDEX(Categories!$B:$B,MATCH(F2198,Categories!$A:$A,0)))</f>
        <v/>
      </c>
      <c r="J2198" s="4"/>
      <c r="K2198" s="4"/>
      <c r="L2198" s="4"/>
      <c r="M2198" s="4"/>
      <c r="N2198" s="4"/>
      <c r="O2198" s="4"/>
      <c r="P2198" s="4"/>
      <c r="Q2198" s="4"/>
    </row>
    <row r="2199">
      <c r="A2199" s="5">
        <v>2198.0</v>
      </c>
      <c r="B2199" s="5" t="s">
        <v>2701</v>
      </c>
      <c r="C2199" s="5" t="s">
        <v>585</v>
      </c>
      <c r="D2199" s="6">
        <f>IFERROR(__xludf.DUMMYFUNCTION("SPLIT(MID(C2199,2,LEN(C2199)-2), "","")"),1259.0)</f>
        <v>1259</v>
      </c>
      <c r="E2199" s="7"/>
      <c r="F2199" s="7"/>
      <c r="G2199" s="2" t="str">
        <f t="array" ref="G2199">IF(ISBLANK(D2199), "", INDEX(Categories!$B:$B,MATCH(D2199,Categories!$A:$A,0)))</f>
        <v>Lingerie Retail</v>
      </c>
      <c r="H2199" s="7" t="str">
        <f t="array" ref="H2199">IF(ISBLANK(E2199), "", INDEX(Categories!$B:$B,MATCH(E2199,Categories!$A:$A,0)))</f>
        <v/>
      </c>
      <c r="I2199" s="7" t="str">
        <f t="array" ref="I2199">IF(ISBLANK(F2199), "", INDEX(Categories!$B:$B,MATCH(F2199,Categories!$A:$A,0)))</f>
        <v/>
      </c>
      <c r="J2199" s="4"/>
      <c r="K2199" s="4"/>
      <c r="L2199" s="4"/>
      <c r="M2199" s="4"/>
      <c r="N2199" s="4"/>
      <c r="O2199" s="4"/>
      <c r="P2199" s="4"/>
      <c r="Q2199" s="4"/>
    </row>
    <row r="2200">
      <c r="A2200" s="5">
        <v>2199.0</v>
      </c>
      <c r="B2200" s="5" t="s">
        <v>2702</v>
      </c>
      <c r="C2200" s="5" t="s">
        <v>96</v>
      </c>
      <c r="D2200" s="6">
        <f>IFERROR(__xludf.DUMMYFUNCTION("SPLIT(MID(C2200,2,LEN(C2200)-2), "","")"),572.0)</f>
        <v>572</v>
      </c>
      <c r="E2200" s="7"/>
      <c r="F2200" s="7"/>
      <c r="G2200" s="2" t="str">
        <f t="array" ref="G2200">IF(ISBLANK(D2200), "", INDEX(Categories!$B:$B,MATCH(D2200,Categories!$A:$A,0)))</f>
        <v>Groceries</v>
      </c>
      <c r="H2200" s="7" t="str">
        <f t="array" ref="H2200">IF(ISBLANK(E2200), "", INDEX(Categories!$B:$B,MATCH(E2200,Categories!$A:$A,0)))</f>
        <v/>
      </c>
      <c r="I2200" s="7" t="str">
        <f t="array" ref="I2200">IF(ISBLANK(F2200), "", INDEX(Categories!$B:$B,MATCH(F2200,Categories!$A:$A,0)))</f>
        <v/>
      </c>
      <c r="J2200" s="4"/>
      <c r="K2200" s="4"/>
      <c r="L2200" s="4"/>
      <c r="M2200" s="4"/>
      <c r="N2200" s="4"/>
      <c r="O2200" s="4"/>
      <c r="P2200" s="4"/>
      <c r="Q2200" s="4"/>
    </row>
    <row r="2201">
      <c r="A2201" s="5">
        <v>2200.0</v>
      </c>
      <c r="B2201" s="5" t="s">
        <v>2703</v>
      </c>
      <c r="C2201" s="5" t="s">
        <v>760</v>
      </c>
      <c r="D2201" s="6">
        <f>IFERROR(__xludf.DUMMYFUNCTION("SPLIT(MID(C2201,2,LEN(C2201)-2), "","")"),1246.0)</f>
        <v>1246</v>
      </c>
      <c r="E2201" s="7"/>
      <c r="F2201" s="7"/>
      <c r="G2201" s="2" t="str">
        <f t="array" ref="G2201">IF(ISBLANK(D2201), "", INDEX(Categories!$B:$B,MATCH(D2201,Categories!$A:$A,0)))</f>
        <v>Clothing</v>
      </c>
      <c r="H2201" s="7" t="str">
        <f t="array" ref="H2201">IF(ISBLANK(E2201), "", INDEX(Categories!$B:$B,MATCH(E2201,Categories!$A:$A,0)))</f>
        <v/>
      </c>
      <c r="I2201" s="7" t="str">
        <f t="array" ref="I2201">IF(ISBLANK(F2201), "", INDEX(Categories!$B:$B,MATCH(F2201,Categories!$A:$A,0)))</f>
        <v/>
      </c>
      <c r="J2201" s="4"/>
      <c r="K2201" s="4"/>
      <c r="L2201" s="4"/>
      <c r="M2201" s="4"/>
      <c r="N2201" s="4"/>
      <c r="O2201" s="4"/>
      <c r="P2201" s="4"/>
      <c r="Q2201" s="4"/>
    </row>
    <row r="2202">
      <c r="A2202" s="5">
        <v>2201.0</v>
      </c>
      <c r="B2202" s="5" t="s">
        <v>2704</v>
      </c>
      <c r="C2202" s="5" t="s">
        <v>346</v>
      </c>
      <c r="D2202" s="6">
        <f>IFERROR(__xludf.DUMMYFUNCTION("SPLIT(MID(C2202,2,LEN(C2202)-2), "","")"),610.0)</f>
        <v>610</v>
      </c>
      <c r="E2202" s="7"/>
      <c r="F2202" s="7"/>
      <c r="G2202" s="2" t="str">
        <f t="array" ref="G2202">IF(ISBLANK(D2202), "", INDEX(Categories!$B:$B,MATCH(D2202,Categories!$A:$A,0)))</f>
        <v>Supermarkets &amp; Super Stores</v>
      </c>
      <c r="H2202" s="7" t="str">
        <f t="array" ref="H2202">IF(ISBLANK(E2202), "", INDEX(Categories!$B:$B,MATCH(E2202,Categories!$A:$A,0)))</f>
        <v/>
      </c>
      <c r="I2202" s="7" t="str">
        <f t="array" ref="I2202">IF(ISBLANK(F2202), "", INDEX(Categories!$B:$B,MATCH(F2202,Categories!$A:$A,0)))</f>
        <v/>
      </c>
      <c r="J2202" s="4"/>
      <c r="K2202" s="4"/>
      <c r="L2202" s="4"/>
      <c r="M2202" s="4"/>
      <c r="N2202" s="4"/>
      <c r="O2202" s="4"/>
      <c r="P2202" s="4"/>
      <c r="Q2202" s="4"/>
    </row>
    <row r="2203">
      <c r="A2203" s="5">
        <v>2202.0</v>
      </c>
      <c r="B2203" s="5" t="s">
        <v>2705</v>
      </c>
      <c r="C2203" s="5" t="s">
        <v>96</v>
      </c>
      <c r="D2203" s="6">
        <f>IFERROR(__xludf.DUMMYFUNCTION("SPLIT(MID(C2203,2,LEN(C2203)-2), "","")"),572.0)</f>
        <v>572</v>
      </c>
      <c r="E2203" s="7"/>
      <c r="F2203" s="7"/>
      <c r="G2203" s="2" t="str">
        <f t="array" ref="G2203">IF(ISBLANK(D2203), "", INDEX(Categories!$B:$B,MATCH(D2203,Categories!$A:$A,0)))</f>
        <v>Groceries</v>
      </c>
      <c r="H2203" s="7" t="str">
        <f t="array" ref="H2203">IF(ISBLANK(E2203), "", INDEX(Categories!$B:$B,MATCH(E2203,Categories!$A:$A,0)))</f>
        <v/>
      </c>
      <c r="I2203" s="7" t="str">
        <f t="array" ref="I2203">IF(ISBLANK(F2203), "", INDEX(Categories!$B:$B,MATCH(F2203,Categories!$A:$A,0)))</f>
        <v/>
      </c>
      <c r="J2203" s="4"/>
      <c r="K2203" s="4"/>
      <c r="L2203" s="4"/>
      <c r="M2203" s="4"/>
      <c r="N2203" s="4"/>
      <c r="O2203" s="4"/>
      <c r="P2203" s="4"/>
      <c r="Q2203" s="4"/>
    </row>
    <row r="2204">
      <c r="A2204" s="5">
        <v>2203.0</v>
      </c>
      <c r="B2204" s="5" t="s">
        <v>2706</v>
      </c>
      <c r="C2204" s="5" t="s">
        <v>346</v>
      </c>
      <c r="D2204" s="6">
        <f>IFERROR(__xludf.DUMMYFUNCTION("SPLIT(MID(C2204,2,LEN(C2204)-2), "","")"),610.0)</f>
        <v>610</v>
      </c>
      <c r="E2204" s="7"/>
      <c r="F2204" s="7"/>
      <c r="G2204" s="2" t="str">
        <f t="array" ref="G2204">IF(ISBLANK(D2204), "", INDEX(Categories!$B:$B,MATCH(D2204,Categories!$A:$A,0)))</f>
        <v>Supermarkets &amp; Super Stores</v>
      </c>
      <c r="H2204" s="7" t="str">
        <f t="array" ref="H2204">IF(ISBLANK(E2204), "", INDEX(Categories!$B:$B,MATCH(E2204,Categories!$A:$A,0)))</f>
        <v/>
      </c>
      <c r="I2204" s="7" t="str">
        <f t="array" ref="I2204">IF(ISBLANK(F2204), "", INDEX(Categories!$B:$B,MATCH(F2204,Categories!$A:$A,0)))</f>
        <v/>
      </c>
      <c r="J2204" s="4"/>
      <c r="K2204" s="4"/>
      <c r="L2204" s="4"/>
      <c r="M2204" s="4"/>
      <c r="N2204" s="4"/>
      <c r="O2204" s="4"/>
      <c r="P2204" s="4"/>
      <c r="Q2204" s="4"/>
    </row>
    <row r="2205">
      <c r="A2205" s="5">
        <v>2204.0</v>
      </c>
      <c r="B2205" s="5" t="s">
        <v>2707</v>
      </c>
      <c r="C2205" s="5" t="s">
        <v>346</v>
      </c>
      <c r="D2205" s="6">
        <f>IFERROR(__xludf.DUMMYFUNCTION("SPLIT(MID(C2205,2,LEN(C2205)-2), "","")"),610.0)</f>
        <v>610</v>
      </c>
      <c r="E2205" s="7"/>
      <c r="F2205" s="7"/>
      <c r="G2205" s="2" t="str">
        <f t="array" ref="G2205">IF(ISBLANK(D2205), "", INDEX(Categories!$B:$B,MATCH(D2205,Categories!$A:$A,0)))</f>
        <v>Supermarkets &amp; Super Stores</v>
      </c>
      <c r="H2205" s="7" t="str">
        <f t="array" ref="H2205">IF(ISBLANK(E2205), "", INDEX(Categories!$B:$B,MATCH(E2205,Categories!$A:$A,0)))</f>
        <v/>
      </c>
      <c r="I2205" s="7" t="str">
        <f t="array" ref="I2205">IF(ISBLANK(F2205), "", INDEX(Categories!$B:$B,MATCH(F2205,Categories!$A:$A,0)))</f>
        <v/>
      </c>
      <c r="J2205" s="4"/>
      <c r="K2205" s="4"/>
      <c r="L2205" s="4"/>
      <c r="M2205" s="4"/>
      <c r="N2205" s="4"/>
      <c r="O2205" s="4"/>
      <c r="P2205" s="4"/>
      <c r="Q2205" s="4"/>
    </row>
    <row r="2206">
      <c r="A2206" s="5">
        <v>2205.0</v>
      </c>
      <c r="B2206" s="5" t="s">
        <v>2708</v>
      </c>
      <c r="C2206" s="5" t="s">
        <v>139</v>
      </c>
      <c r="D2206" s="6">
        <f>IFERROR(__xludf.DUMMYFUNCTION("SPLIT(MID(C2206,2,LEN(C2206)-2), "","")"),1617.0)</f>
        <v>1617</v>
      </c>
      <c r="E2206" s="7"/>
      <c r="F2206" s="7"/>
      <c r="G2206" s="2" t="str">
        <f t="array" ref="G2206">IF(ISBLANK(D2206), "", INDEX(Categories!$B:$B,MATCH(D2206,Categories!$A:$A,0)))</f>
        <v>Department Stores</v>
      </c>
      <c r="H2206" s="7" t="str">
        <f t="array" ref="H2206">IF(ISBLANK(E2206), "", INDEX(Categories!$B:$B,MATCH(E2206,Categories!$A:$A,0)))</f>
        <v/>
      </c>
      <c r="I2206" s="7" t="str">
        <f t="array" ref="I2206">IF(ISBLANK(F2206), "", INDEX(Categories!$B:$B,MATCH(F2206,Categories!$A:$A,0)))</f>
        <v/>
      </c>
      <c r="J2206" s="4"/>
      <c r="K2206" s="4"/>
      <c r="L2206" s="4"/>
      <c r="M2206" s="4"/>
      <c r="N2206" s="4"/>
      <c r="O2206" s="4"/>
      <c r="P2206" s="4"/>
      <c r="Q2206" s="4"/>
    </row>
    <row r="2207">
      <c r="A2207" s="5">
        <v>2206.0</v>
      </c>
      <c r="B2207" s="5" t="s">
        <v>2709</v>
      </c>
      <c r="C2207" s="5" t="s">
        <v>96</v>
      </c>
      <c r="D2207" s="6">
        <f>IFERROR(__xludf.DUMMYFUNCTION("SPLIT(MID(C2207,2,LEN(C2207)-2), "","")"),572.0)</f>
        <v>572</v>
      </c>
      <c r="E2207" s="7"/>
      <c r="F2207" s="7"/>
      <c r="G2207" s="2" t="str">
        <f t="array" ref="G2207">IF(ISBLANK(D2207), "", INDEX(Categories!$B:$B,MATCH(D2207,Categories!$A:$A,0)))</f>
        <v>Groceries</v>
      </c>
      <c r="H2207" s="7" t="str">
        <f t="array" ref="H2207">IF(ISBLANK(E2207), "", INDEX(Categories!$B:$B,MATCH(E2207,Categories!$A:$A,0)))</f>
        <v/>
      </c>
      <c r="I2207" s="7" t="str">
        <f t="array" ref="I2207">IF(ISBLANK(F2207), "", INDEX(Categories!$B:$B,MATCH(F2207,Categories!$A:$A,0)))</f>
        <v/>
      </c>
      <c r="J2207" s="4"/>
      <c r="K2207" s="4"/>
      <c r="L2207" s="4"/>
      <c r="M2207" s="4"/>
      <c r="N2207" s="4"/>
      <c r="O2207" s="4"/>
      <c r="P2207" s="4"/>
      <c r="Q2207" s="4"/>
    </row>
    <row r="2208">
      <c r="A2208" s="5">
        <v>2207.0</v>
      </c>
      <c r="B2208" s="5" t="s">
        <v>2710</v>
      </c>
      <c r="C2208" s="5" t="s">
        <v>346</v>
      </c>
      <c r="D2208" s="6">
        <f>IFERROR(__xludf.DUMMYFUNCTION("SPLIT(MID(C2208,2,LEN(C2208)-2), "","")"),610.0)</f>
        <v>610</v>
      </c>
      <c r="E2208" s="7"/>
      <c r="F2208" s="7"/>
      <c r="G2208" s="2" t="str">
        <f t="array" ref="G2208">IF(ISBLANK(D2208), "", INDEX(Categories!$B:$B,MATCH(D2208,Categories!$A:$A,0)))</f>
        <v>Supermarkets &amp; Super Stores</v>
      </c>
      <c r="H2208" s="7" t="str">
        <f t="array" ref="H2208">IF(ISBLANK(E2208), "", INDEX(Categories!$B:$B,MATCH(E2208,Categories!$A:$A,0)))</f>
        <v/>
      </c>
      <c r="I2208" s="7" t="str">
        <f t="array" ref="I2208">IF(ISBLANK(F2208), "", INDEX(Categories!$B:$B,MATCH(F2208,Categories!$A:$A,0)))</f>
        <v/>
      </c>
      <c r="J2208" s="4"/>
      <c r="K2208" s="4"/>
      <c r="L2208" s="4"/>
      <c r="M2208" s="4"/>
      <c r="N2208" s="4"/>
      <c r="O2208" s="4"/>
      <c r="P2208" s="4"/>
      <c r="Q2208" s="4"/>
    </row>
    <row r="2209">
      <c r="A2209" s="5">
        <v>2208.0</v>
      </c>
      <c r="B2209" s="5" t="s">
        <v>2711</v>
      </c>
      <c r="C2209" s="5" t="s">
        <v>109</v>
      </c>
      <c r="D2209" s="6">
        <f>IFERROR(__xludf.DUMMYFUNCTION("SPLIT(MID(C2209,2,LEN(C2209)-2), "","")"),741.0)</f>
        <v>741</v>
      </c>
      <c r="E2209" s="7"/>
      <c r="F2209" s="7"/>
      <c r="G2209" s="2" t="str">
        <f t="array" ref="G2209">IF(ISBLANK(D2209), "", INDEX(Categories!$B:$B,MATCH(D2209,Categories!$A:$A,0)))</f>
        <v>Shoes</v>
      </c>
      <c r="H2209" s="7" t="str">
        <f t="array" ref="H2209">IF(ISBLANK(E2209), "", INDEX(Categories!$B:$B,MATCH(E2209,Categories!$A:$A,0)))</f>
        <v/>
      </c>
      <c r="I2209" s="7" t="str">
        <f t="array" ref="I2209">IF(ISBLANK(F2209), "", INDEX(Categories!$B:$B,MATCH(F2209,Categories!$A:$A,0)))</f>
        <v/>
      </c>
      <c r="J2209" s="4"/>
      <c r="K2209" s="4"/>
      <c r="L2209" s="4"/>
      <c r="M2209" s="4"/>
      <c r="N2209" s="4"/>
      <c r="O2209" s="4"/>
      <c r="P2209" s="4"/>
      <c r="Q2209" s="4"/>
    </row>
    <row r="2210">
      <c r="A2210" s="5">
        <v>2209.0</v>
      </c>
      <c r="B2210" s="5" t="s">
        <v>2712</v>
      </c>
      <c r="C2210" s="5" t="s">
        <v>96</v>
      </c>
      <c r="D2210" s="6">
        <f>IFERROR(__xludf.DUMMYFUNCTION("SPLIT(MID(C2210,2,LEN(C2210)-2), "","")"),572.0)</f>
        <v>572</v>
      </c>
      <c r="E2210" s="7"/>
      <c r="F2210" s="7"/>
      <c r="G2210" s="2" t="str">
        <f t="array" ref="G2210">IF(ISBLANK(D2210), "", INDEX(Categories!$B:$B,MATCH(D2210,Categories!$A:$A,0)))</f>
        <v>Groceries</v>
      </c>
      <c r="H2210" s="7" t="str">
        <f t="array" ref="H2210">IF(ISBLANK(E2210), "", INDEX(Categories!$B:$B,MATCH(E2210,Categories!$A:$A,0)))</f>
        <v/>
      </c>
      <c r="I2210" s="7" t="str">
        <f t="array" ref="I2210">IF(ISBLANK(F2210), "", INDEX(Categories!$B:$B,MATCH(F2210,Categories!$A:$A,0)))</f>
        <v/>
      </c>
      <c r="J2210" s="4"/>
      <c r="K2210" s="4"/>
      <c r="L2210" s="4"/>
      <c r="M2210" s="4"/>
      <c r="N2210" s="4"/>
      <c r="O2210" s="4"/>
      <c r="P2210" s="4"/>
      <c r="Q2210" s="4"/>
    </row>
    <row r="2211">
      <c r="A2211" s="5">
        <v>2210.0</v>
      </c>
      <c r="B2211" s="5" t="s">
        <v>2713</v>
      </c>
      <c r="C2211" s="5" t="s">
        <v>346</v>
      </c>
      <c r="D2211" s="6">
        <f>IFERROR(__xludf.DUMMYFUNCTION("SPLIT(MID(C2211,2,LEN(C2211)-2), "","")"),610.0)</f>
        <v>610</v>
      </c>
      <c r="E2211" s="7"/>
      <c r="F2211" s="7"/>
      <c r="G2211" s="2" t="str">
        <f t="array" ref="G2211">IF(ISBLANK(D2211), "", INDEX(Categories!$B:$B,MATCH(D2211,Categories!$A:$A,0)))</f>
        <v>Supermarkets &amp; Super Stores</v>
      </c>
      <c r="H2211" s="7" t="str">
        <f t="array" ref="H2211">IF(ISBLANK(E2211), "", INDEX(Categories!$B:$B,MATCH(E2211,Categories!$A:$A,0)))</f>
        <v/>
      </c>
      <c r="I2211" s="7" t="str">
        <f t="array" ref="I2211">IF(ISBLANK(F2211), "", INDEX(Categories!$B:$B,MATCH(F2211,Categories!$A:$A,0)))</f>
        <v/>
      </c>
      <c r="J2211" s="4"/>
      <c r="K2211" s="4"/>
      <c r="L2211" s="4"/>
      <c r="M2211" s="4"/>
      <c r="N2211" s="4"/>
      <c r="O2211" s="4"/>
      <c r="P2211" s="4"/>
      <c r="Q2211" s="4"/>
    </row>
    <row r="2212">
      <c r="A2212" s="5">
        <v>2211.0</v>
      </c>
      <c r="B2212" s="5" t="s">
        <v>2714</v>
      </c>
      <c r="C2212" s="5" t="s">
        <v>96</v>
      </c>
      <c r="D2212" s="6">
        <f>IFERROR(__xludf.DUMMYFUNCTION("SPLIT(MID(C2212,2,LEN(C2212)-2), "","")"),572.0)</f>
        <v>572</v>
      </c>
      <c r="E2212" s="7"/>
      <c r="F2212" s="7"/>
      <c r="G2212" s="2" t="str">
        <f t="array" ref="G2212">IF(ISBLANK(D2212), "", INDEX(Categories!$B:$B,MATCH(D2212,Categories!$A:$A,0)))</f>
        <v>Groceries</v>
      </c>
      <c r="H2212" s="7" t="str">
        <f t="array" ref="H2212">IF(ISBLANK(E2212), "", INDEX(Categories!$B:$B,MATCH(E2212,Categories!$A:$A,0)))</f>
        <v/>
      </c>
      <c r="I2212" s="7" t="str">
        <f t="array" ref="I2212">IF(ISBLANK(F2212), "", INDEX(Categories!$B:$B,MATCH(F2212,Categories!$A:$A,0)))</f>
        <v/>
      </c>
      <c r="J2212" s="4"/>
      <c r="K2212" s="4"/>
      <c r="L2212" s="4"/>
      <c r="M2212" s="4"/>
      <c r="N2212" s="4"/>
      <c r="O2212" s="4"/>
      <c r="P2212" s="4"/>
      <c r="Q2212" s="4"/>
    </row>
    <row r="2213">
      <c r="A2213" s="5">
        <v>2212.0</v>
      </c>
      <c r="B2213" s="5" t="s">
        <v>2715</v>
      </c>
      <c r="C2213" s="5" t="s">
        <v>2716</v>
      </c>
      <c r="D2213" s="6">
        <f>IFERROR(__xludf.DUMMYFUNCTION("SPLIT(MID(C2213,2,LEN(C2213)-2), "","")"),1894.0)</f>
        <v>1894</v>
      </c>
      <c r="E2213" s="7"/>
      <c r="F2213" s="7"/>
      <c r="G2213" s="2" t="str">
        <f t="array" ref="G2213">IF(ISBLANK(D2213), "", INDEX(Categories!$B:$B,MATCH(D2213,Categories!$A:$A,0)))</f>
        <v>Bathroom Fixtures Cabinets &amp; Accessories Retail</v>
      </c>
      <c r="H2213" s="7" t="str">
        <f t="array" ref="H2213">IF(ISBLANK(E2213), "", INDEX(Categories!$B:$B,MATCH(E2213,Categories!$A:$A,0)))</f>
        <v/>
      </c>
      <c r="I2213" s="7" t="str">
        <f t="array" ref="I2213">IF(ISBLANK(F2213), "", INDEX(Categories!$B:$B,MATCH(F2213,Categories!$A:$A,0)))</f>
        <v/>
      </c>
      <c r="J2213" s="4"/>
      <c r="K2213" s="4"/>
      <c r="L2213" s="4"/>
      <c r="M2213" s="4"/>
      <c r="N2213" s="4"/>
      <c r="O2213" s="4"/>
      <c r="P2213" s="4"/>
      <c r="Q2213" s="4"/>
    </row>
    <row r="2214">
      <c r="A2214" s="5">
        <v>2213.0</v>
      </c>
      <c r="B2214" s="5" t="s">
        <v>2717</v>
      </c>
      <c r="C2214" s="5" t="s">
        <v>473</v>
      </c>
      <c r="D2214" s="6">
        <f>IFERROR(__xludf.DUMMYFUNCTION("SPLIT(MID(C2214,2,LEN(C2214)-2), "","")"),1965.0)</f>
        <v>1965</v>
      </c>
      <c r="E2214" s="7"/>
      <c r="F2214" s="7"/>
      <c r="G2214" s="2" t="str">
        <f t="array" ref="G2214">IF(ISBLANK(D2214), "", INDEX(Categories!$B:$B,MATCH(D2214,Categories!$A:$A,0)))</f>
        <v>Electronics - Dealers</v>
      </c>
      <c r="H2214" s="7" t="str">
        <f t="array" ref="H2214">IF(ISBLANK(E2214), "", INDEX(Categories!$B:$B,MATCH(E2214,Categories!$A:$A,0)))</f>
        <v/>
      </c>
      <c r="I2214" s="7" t="str">
        <f t="array" ref="I2214">IF(ISBLANK(F2214), "", INDEX(Categories!$B:$B,MATCH(F2214,Categories!$A:$A,0)))</f>
        <v/>
      </c>
      <c r="J2214" s="4"/>
      <c r="K2214" s="4"/>
      <c r="L2214" s="4"/>
      <c r="M2214" s="4"/>
      <c r="N2214" s="4"/>
      <c r="O2214" s="4"/>
      <c r="P2214" s="4"/>
      <c r="Q2214" s="4"/>
    </row>
    <row r="2215">
      <c r="A2215" s="5">
        <v>2214.0</v>
      </c>
      <c r="B2215" s="5" t="s">
        <v>2718</v>
      </c>
      <c r="C2215" s="5" t="s">
        <v>346</v>
      </c>
      <c r="D2215" s="6">
        <f>IFERROR(__xludf.DUMMYFUNCTION("SPLIT(MID(C2215,2,LEN(C2215)-2), "","")"),610.0)</f>
        <v>610</v>
      </c>
      <c r="E2215" s="7"/>
      <c r="F2215" s="7"/>
      <c r="G2215" s="2" t="str">
        <f t="array" ref="G2215">IF(ISBLANK(D2215), "", INDEX(Categories!$B:$B,MATCH(D2215,Categories!$A:$A,0)))</f>
        <v>Supermarkets &amp; Super Stores</v>
      </c>
      <c r="H2215" s="7" t="str">
        <f t="array" ref="H2215">IF(ISBLANK(E2215), "", INDEX(Categories!$B:$B,MATCH(E2215,Categories!$A:$A,0)))</f>
        <v/>
      </c>
      <c r="I2215" s="7" t="str">
        <f t="array" ref="I2215">IF(ISBLANK(F2215), "", INDEX(Categories!$B:$B,MATCH(F2215,Categories!$A:$A,0)))</f>
        <v/>
      </c>
      <c r="J2215" s="4"/>
      <c r="K2215" s="4"/>
      <c r="L2215" s="4"/>
      <c r="M2215" s="4"/>
      <c r="N2215" s="4"/>
      <c r="O2215" s="4"/>
      <c r="P2215" s="4"/>
      <c r="Q2215" s="4"/>
    </row>
    <row r="2216">
      <c r="A2216" s="5">
        <v>2215.0</v>
      </c>
      <c r="B2216" s="5" t="s">
        <v>2719</v>
      </c>
      <c r="C2216" s="5" t="s">
        <v>139</v>
      </c>
      <c r="D2216" s="6">
        <f>IFERROR(__xludf.DUMMYFUNCTION("SPLIT(MID(C2216,2,LEN(C2216)-2), "","")"),1617.0)</f>
        <v>1617</v>
      </c>
      <c r="E2216" s="7"/>
      <c r="F2216" s="7"/>
      <c r="G2216" s="2" t="str">
        <f t="array" ref="G2216">IF(ISBLANK(D2216), "", INDEX(Categories!$B:$B,MATCH(D2216,Categories!$A:$A,0)))</f>
        <v>Department Stores</v>
      </c>
      <c r="H2216" s="7" t="str">
        <f t="array" ref="H2216">IF(ISBLANK(E2216), "", INDEX(Categories!$B:$B,MATCH(E2216,Categories!$A:$A,0)))</f>
        <v/>
      </c>
      <c r="I2216" s="7" t="str">
        <f t="array" ref="I2216">IF(ISBLANK(F2216), "", INDEX(Categories!$B:$B,MATCH(F2216,Categories!$A:$A,0)))</f>
        <v/>
      </c>
      <c r="J2216" s="4"/>
      <c r="K2216" s="4"/>
      <c r="L2216" s="4"/>
      <c r="M2216" s="4"/>
      <c r="N2216" s="4"/>
      <c r="O2216" s="4"/>
      <c r="P2216" s="4"/>
      <c r="Q2216" s="4"/>
    </row>
    <row r="2217">
      <c r="A2217" s="5">
        <v>2216.0</v>
      </c>
      <c r="B2217" s="5" t="s">
        <v>2720</v>
      </c>
      <c r="C2217" s="5" t="s">
        <v>346</v>
      </c>
      <c r="D2217" s="6">
        <f>IFERROR(__xludf.DUMMYFUNCTION("SPLIT(MID(C2217,2,LEN(C2217)-2), "","")"),610.0)</f>
        <v>610</v>
      </c>
      <c r="E2217" s="7"/>
      <c r="F2217" s="7"/>
      <c r="G2217" s="2" t="str">
        <f t="array" ref="G2217">IF(ISBLANK(D2217), "", INDEX(Categories!$B:$B,MATCH(D2217,Categories!$A:$A,0)))</f>
        <v>Supermarkets &amp; Super Stores</v>
      </c>
      <c r="H2217" s="7" t="str">
        <f t="array" ref="H2217">IF(ISBLANK(E2217), "", INDEX(Categories!$B:$B,MATCH(E2217,Categories!$A:$A,0)))</f>
        <v/>
      </c>
      <c r="I2217" s="7" t="str">
        <f t="array" ref="I2217">IF(ISBLANK(F2217), "", INDEX(Categories!$B:$B,MATCH(F2217,Categories!$A:$A,0)))</f>
        <v/>
      </c>
      <c r="J2217" s="4"/>
      <c r="K2217" s="4"/>
      <c r="L2217" s="4"/>
      <c r="M2217" s="4"/>
      <c r="N2217" s="4"/>
      <c r="O2217" s="4"/>
      <c r="P2217" s="4"/>
      <c r="Q2217" s="4"/>
    </row>
    <row r="2218">
      <c r="A2218" s="5">
        <v>2217.0</v>
      </c>
      <c r="B2218" s="5" t="s">
        <v>2721</v>
      </c>
      <c r="C2218" s="5" t="s">
        <v>115</v>
      </c>
      <c r="D2218" s="6">
        <f>IFERROR(__xludf.DUMMYFUNCTION("SPLIT(MID(C2218,2,LEN(C2218)-2), "","")"),1272.0)</f>
        <v>1272</v>
      </c>
      <c r="E2218" s="7"/>
      <c r="F2218" s="7"/>
      <c r="G2218" s="2" t="str">
        <f t="array" ref="G2218">IF(ISBLANK(D2218), "", INDEX(Categories!$B:$B,MATCH(D2218,Categories!$A:$A,0)))</f>
        <v>Womens Apparel</v>
      </c>
      <c r="H2218" s="7" t="str">
        <f t="array" ref="H2218">IF(ISBLANK(E2218), "", INDEX(Categories!$B:$B,MATCH(E2218,Categories!$A:$A,0)))</f>
        <v/>
      </c>
      <c r="I2218" s="7" t="str">
        <f t="array" ref="I2218">IF(ISBLANK(F2218), "", INDEX(Categories!$B:$B,MATCH(F2218,Categories!$A:$A,0)))</f>
        <v/>
      </c>
      <c r="J2218" s="4"/>
      <c r="K2218" s="4"/>
      <c r="L2218" s="4"/>
      <c r="M2218" s="4"/>
      <c r="N2218" s="4"/>
      <c r="O2218" s="4"/>
      <c r="P2218" s="4"/>
      <c r="Q2218" s="4"/>
    </row>
    <row r="2219">
      <c r="A2219" s="5">
        <v>2218.0</v>
      </c>
      <c r="B2219" s="5" t="s">
        <v>2722</v>
      </c>
      <c r="C2219" s="5" t="s">
        <v>115</v>
      </c>
      <c r="D2219" s="6">
        <f>IFERROR(__xludf.DUMMYFUNCTION("SPLIT(MID(C2219,2,LEN(C2219)-2), "","")"),1272.0)</f>
        <v>1272</v>
      </c>
      <c r="E2219" s="7"/>
      <c r="F2219" s="7"/>
      <c r="G2219" s="2" t="str">
        <f t="array" ref="G2219">IF(ISBLANK(D2219), "", INDEX(Categories!$B:$B,MATCH(D2219,Categories!$A:$A,0)))</f>
        <v>Womens Apparel</v>
      </c>
      <c r="H2219" s="7" t="str">
        <f t="array" ref="H2219">IF(ISBLANK(E2219), "", INDEX(Categories!$B:$B,MATCH(E2219,Categories!$A:$A,0)))</f>
        <v/>
      </c>
      <c r="I2219" s="7" t="str">
        <f t="array" ref="I2219">IF(ISBLANK(F2219), "", INDEX(Categories!$B:$B,MATCH(F2219,Categories!$A:$A,0)))</f>
        <v/>
      </c>
      <c r="J2219" s="4"/>
      <c r="K2219" s="4"/>
      <c r="L2219" s="4"/>
      <c r="M2219" s="4"/>
      <c r="N2219" s="4"/>
      <c r="O2219" s="4"/>
      <c r="P2219" s="4"/>
      <c r="Q2219" s="4"/>
    </row>
    <row r="2220">
      <c r="A2220" s="5">
        <v>2219.0</v>
      </c>
      <c r="B2220" s="5" t="s">
        <v>2723</v>
      </c>
      <c r="C2220" s="5" t="s">
        <v>346</v>
      </c>
      <c r="D2220" s="6">
        <f>IFERROR(__xludf.DUMMYFUNCTION("SPLIT(MID(C2220,2,LEN(C2220)-2), "","")"),610.0)</f>
        <v>610</v>
      </c>
      <c r="E2220" s="7"/>
      <c r="F2220" s="7"/>
      <c r="G2220" s="2" t="str">
        <f t="array" ref="G2220">IF(ISBLANK(D2220), "", INDEX(Categories!$B:$B,MATCH(D2220,Categories!$A:$A,0)))</f>
        <v>Supermarkets &amp; Super Stores</v>
      </c>
      <c r="H2220" s="7" t="str">
        <f t="array" ref="H2220">IF(ISBLANK(E2220), "", INDEX(Categories!$B:$B,MATCH(E2220,Categories!$A:$A,0)))</f>
        <v/>
      </c>
      <c r="I2220" s="7" t="str">
        <f t="array" ref="I2220">IF(ISBLANK(F2220), "", INDEX(Categories!$B:$B,MATCH(F2220,Categories!$A:$A,0)))</f>
        <v/>
      </c>
      <c r="J2220" s="4"/>
      <c r="K2220" s="4"/>
      <c r="L2220" s="4"/>
      <c r="M2220" s="4"/>
      <c r="N2220" s="4"/>
      <c r="O2220" s="4"/>
      <c r="P2220" s="4"/>
      <c r="Q2220" s="4"/>
    </row>
    <row r="2221">
      <c r="A2221" s="5">
        <v>2220.0</v>
      </c>
      <c r="B2221" s="5" t="s">
        <v>2724</v>
      </c>
      <c r="C2221" s="5" t="s">
        <v>109</v>
      </c>
      <c r="D2221" s="6">
        <f>IFERROR(__xludf.DUMMYFUNCTION("SPLIT(MID(C2221,2,LEN(C2221)-2), "","")"),741.0)</f>
        <v>741</v>
      </c>
      <c r="E2221" s="7"/>
      <c r="F2221" s="7"/>
      <c r="G2221" s="2" t="str">
        <f t="array" ref="G2221">IF(ISBLANK(D2221), "", INDEX(Categories!$B:$B,MATCH(D2221,Categories!$A:$A,0)))</f>
        <v>Shoes</v>
      </c>
      <c r="H2221" s="7" t="str">
        <f t="array" ref="H2221">IF(ISBLANK(E2221), "", INDEX(Categories!$B:$B,MATCH(E2221,Categories!$A:$A,0)))</f>
        <v/>
      </c>
      <c r="I2221" s="7" t="str">
        <f t="array" ref="I2221">IF(ISBLANK(F2221), "", INDEX(Categories!$B:$B,MATCH(F2221,Categories!$A:$A,0)))</f>
        <v/>
      </c>
      <c r="J2221" s="4"/>
      <c r="K2221" s="4"/>
      <c r="L2221" s="4"/>
      <c r="M2221" s="4"/>
      <c r="N2221" s="4"/>
      <c r="O2221" s="4"/>
      <c r="P2221" s="4"/>
      <c r="Q2221" s="4"/>
    </row>
    <row r="2222">
      <c r="A2222" s="5">
        <v>2221.0</v>
      </c>
      <c r="B2222" s="5" t="s">
        <v>2725</v>
      </c>
      <c r="C2222" s="5" t="s">
        <v>303</v>
      </c>
      <c r="D2222" s="6">
        <f>IFERROR(__xludf.DUMMYFUNCTION("SPLIT(MID(C2222,2,LEN(C2222)-2), "","")"),1241.0)</f>
        <v>1241</v>
      </c>
      <c r="E2222" s="7"/>
      <c r="F2222" s="7"/>
      <c r="G2222" s="2" t="str">
        <f t="array" ref="G2222">IF(ISBLANK(D2222), "", INDEX(Categories!$B:$B,MATCH(D2222,Categories!$A:$A,0)))</f>
        <v>Clothing &amp; Accessories</v>
      </c>
      <c r="H2222" s="7" t="str">
        <f t="array" ref="H2222">IF(ISBLANK(E2222), "", INDEX(Categories!$B:$B,MATCH(E2222,Categories!$A:$A,0)))</f>
        <v/>
      </c>
      <c r="I2222" s="7" t="str">
        <f t="array" ref="I2222">IF(ISBLANK(F2222), "", INDEX(Categories!$B:$B,MATCH(F2222,Categories!$A:$A,0)))</f>
        <v/>
      </c>
      <c r="J2222" s="4"/>
      <c r="K2222" s="4"/>
      <c r="L2222" s="4"/>
      <c r="M2222" s="4"/>
      <c r="N2222" s="4"/>
      <c r="O2222" s="4"/>
      <c r="P2222" s="4"/>
      <c r="Q2222" s="4"/>
    </row>
    <row r="2223">
      <c r="A2223" s="5">
        <v>2222.0</v>
      </c>
      <c r="B2223" s="5" t="s">
        <v>2726</v>
      </c>
      <c r="C2223" s="5" t="s">
        <v>170</v>
      </c>
      <c r="D2223" s="6">
        <f>IFERROR(__xludf.DUMMYFUNCTION("SPLIT(MID(C2223,2,LEN(C2223)-2), "","")"),189.0)</f>
        <v>189</v>
      </c>
      <c r="E2223" s="7"/>
      <c r="F2223" s="7"/>
      <c r="G2223" s="2" t="str">
        <f t="array" ref="G2223">IF(ISBLANK(D2223), "", INDEX(Categories!$B:$B,MATCH(D2223,Categories!$A:$A,0)))</f>
        <v>Pharmacies</v>
      </c>
      <c r="H2223" s="7" t="str">
        <f t="array" ref="H2223">IF(ISBLANK(E2223), "", INDEX(Categories!$B:$B,MATCH(E2223,Categories!$A:$A,0)))</f>
        <v/>
      </c>
      <c r="I2223" s="7" t="str">
        <f t="array" ref="I2223">IF(ISBLANK(F2223), "", INDEX(Categories!$B:$B,MATCH(F2223,Categories!$A:$A,0)))</f>
        <v/>
      </c>
      <c r="J2223" s="4"/>
      <c r="K2223" s="4"/>
      <c r="L2223" s="4"/>
      <c r="M2223" s="4"/>
      <c r="N2223" s="4"/>
      <c r="O2223" s="4"/>
      <c r="P2223" s="4"/>
      <c r="Q2223" s="4"/>
    </row>
    <row r="2224">
      <c r="A2224" s="5">
        <v>2223.0</v>
      </c>
      <c r="B2224" s="5" t="s">
        <v>2727</v>
      </c>
      <c r="C2224" s="5" t="s">
        <v>1968</v>
      </c>
      <c r="D2224" s="6">
        <f>IFERROR(__xludf.DUMMYFUNCTION("SPLIT(MID(C2224,2,LEN(C2224)-2), "","")"),611.0)</f>
        <v>611</v>
      </c>
      <c r="E2224" s="7"/>
      <c r="F2224" s="7"/>
      <c r="G2224" s="2" t="str">
        <f t="array" ref="G2224">IF(ISBLANK(D2224), "", INDEX(Categories!$B:$B,MATCH(D2224,Categories!$A:$A,0)))</f>
        <v>Vitamins &amp; Food Supplements</v>
      </c>
      <c r="H2224" s="7" t="str">
        <f t="array" ref="H2224">IF(ISBLANK(E2224), "", INDEX(Categories!$B:$B,MATCH(E2224,Categories!$A:$A,0)))</f>
        <v/>
      </c>
      <c r="I2224" s="7" t="str">
        <f t="array" ref="I2224">IF(ISBLANK(F2224), "", INDEX(Categories!$B:$B,MATCH(F2224,Categories!$A:$A,0)))</f>
        <v/>
      </c>
      <c r="J2224" s="4"/>
      <c r="K2224" s="4"/>
      <c r="L2224" s="4"/>
      <c r="M2224" s="4"/>
      <c r="N2224" s="4"/>
      <c r="O2224" s="4"/>
      <c r="P2224" s="4"/>
      <c r="Q2224" s="4"/>
    </row>
    <row r="2225">
      <c r="A2225" s="5">
        <v>2224.0</v>
      </c>
      <c r="B2225" s="5" t="s">
        <v>2728</v>
      </c>
      <c r="C2225" s="5" t="s">
        <v>346</v>
      </c>
      <c r="D2225" s="6">
        <f>IFERROR(__xludf.DUMMYFUNCTION("SPLIT(MID(C2225,2,LEN(C2225)-2), "","")"),610.0)</f>
        <v>610</v>
      </c>
      <c r="E2225" s="7"/>
      <c r="F2225" s="7"/>
      <c r="G2225" s="2" t="str">
        <f t="array" ref="G2225">IF(ISBLANK(D2225), "", INDEX(Categories!$B:$B,MATCH(D2225,Categories!$A:$A,0)))</f>
        <v>Supermarkets &amp; Super Stores</v>
      </c>
      <c r="H2225" s="7" t="str">
        <f t="array" ref="H2225">IF(ISBLANK(E2225), "", INDEX(Categories!$B:$B,MATCH(E2225,Categories!$A:$A,0)))</f>
        <v/>
      </c>
      <c r="I2225" s="7" t="str">
        <f t="array" ref="I2225">IF(ISBLANK(F2225), "", INDEX(Categories!$B:$B,MATCH(F2225,Categories!$A:$A,0)))</f>
        <v/>
      </c>
      <c r="J2225" s="4"/>
      <c r="K2225" s="4"/>
      <c r="L2225" s="4"/>
      <c r="M2225" s="4"/>
      <c r="N2225" s="4"/>
      <c r="O2225" s="4"/>
      <c r="P2225" s="4"/>
      <c r="Q2225" s="4"/>
    </row>
    <row r="2226">
      <c r="A2226" s="5">
        <v>2225.0</v>
      </c>
      <c r="B2226" s="5" t="s">
        <v>2729</v>
      </c>
      <c r="C2226" s="5" t="s">
        <v>799</v>
      </c>
      <c r="D2226" s="6">
        <f>IFERROR(__xludf.DUMMYFUNCTION("SPLIT(MID(C2226,2,LEN(C2226)-2), "","")"),2636.0)</f>
        <v>2636</v>
      </c>
      <c r="E2226" s="7"/>
      <c r="F2226" s="7"/>
      <c r="G2226" s="2" t="str">
        <f t="array" ref="G2226">IF(ISBLANK(D2226), "", INDEX(Categories!$B:$B,MATCH(D2226,Categories!$A:$A,0)))</f>
        <v>Candles Retail</v>
      </c>
      <c r="H2226" s="7" t="str">
        <f t="array" ref="H2226">IF(ISBLANK(E2226), "", INDEX(Categories!$B:$B,MATCH(E2226,Categories!$A:$A,0)))</f>
        <v/>
      </c>
      <c r="I2226" s="7" t="str">
        <f t="array" ref="I2226">IF(ISBLANK(F2226), "", INDEX(Categories!$B:$B,MATCH(F2226,Categories!$A:$A,0)))</f>
        <v/>
      </c>
      <c r="J2226" s="4"/>
      <c r="K2226" s="4"/>
      <c r="L2226" s="4"/>
      <c r="M2226" s="4"/>
      <c r="N2226" s="4"/>
      <c r="O2226" s="4"/>
      <c r="P2226" s="4"/>
      <c r="Q2226" s="4"/>
    </row>
    <row r="2227">
      <c r="A2227" s="5">
        <v>2226.0</v>
      </c>
      <c r="B2227" s="5" t="s">
        <v>2730</v>
      </c>
      <c r="C2227" s="5" t="s">
        <v>123</v>
      </c>
      <c r="D2227" s="6">
        <f>IFERROR(__xludf.DUMMYFUNCTION("SPLIT(MID(C2227,2,LEN(C2227)-2), "","")"),860.0)</f>
        <v>860</v>
      </c>
      <c r="E2227" s="7"/>
      <c r="F2227" s="7"/>
      <c r="G2227" s="2" t="str">
        <f t="array" ref="G2227">IF(ISBLANK(D2227), "", INDEX(Categories!$B:$B,MATCH(D2227,Categories!$A:$A,0)))</f>
        <v>Health &amp; Diet Food Products</v>
      </c>
      <c r="H2227" s="7" t="str">
        <f t="array" ref="H2227">IF(ISBLANK(E2227), "", INDEX(Categories!$B:$B,MATCH(E2227,Categories!$A:$A,0)))</f>
        <v/>
      </c>
      <c r="I2227" s="7" t="str">
        <f t="array" ref="I2227">IF(ISBLANK(F2227), "", INDEX(Categories!$B:$B,MATCH(F2227,Categories!$A:$A,0)))</f>
        <v/>
      </c>
      <c r="J2227" s="4"/>
      <c r="K2227" s="4"/>
      <c r="L2227" s="4"/>
      <c r="M2227" s="4"/>
      <c r="N2227" s="4"/>
      <c r="O2227" s="4"/>
      <c r="P2227" s="4"/>
      <c r="Q2227" s="4"/>
    </row>
    <row r="2228">
      <c r="A2228" s="5">
        <v>2227.0</v>
      </c>
      <c r="B2228" s="5" t="s">
        <v>2731</v>
      </c>
      <c r="C2228" s="5" t="s">
        <v>96</v>
      </c>
      <c r="D2228" s="6">
        <f>IFERROR(__xludf.DUMMYFUNCTION("SPLIT(MID(C2228,2,LEN(C2228)-2), "","")"),572.0)</f>
        <v>572</v>
      </c>
      <c r="E2228" s="7"/>
      <c r="F2228" s="7"/>
      <c r="G2228" s="2" t="str">
        <f t="array" ref="G2228">IF(ISBLANK(D2228), "", INDEX(Categories!$B:$B,MATCH(D2228,Categories!$A:$A,0)))</f>
        <v>Groceries</v>
      </c>
      <c r="H2228" s="7" t="str">
        <f t="array" ref="H2228">IF(ISBLANK(E2228), "", INDEX(Categories!$B:$B,MATCH(E2228,Categories!$A:$A,0)))</f>
        <v/>
      </c>
      <c r="I2228" s="7" t="str">
        <f t="array" ref="I2228">IF(ISBLANK(F2228), "", INDEX(Categories!$B:$B,MATCH(F2228,Categories!$A:$A,0)))</f>
        <v/>
      </c>
      <c r="J2228" s="4"/>
      <c r="K2228" s="4"/>
      <c r="L2228" s="4"/>
      <c r="M2228" s="4"/>
      <c r="N2228" s="4"/>
      <c r="O2228" s="4"/>
      <c r="P2228" s="4"/>
      <c r="Q2228" s="4"/>
    </row>
    <row r="2229">
      <c r="A2229" s="5">
        <v>2228.0</v>
      </c>
      <c r="B2229" s="5" t="s">
        <v>2732</v>
      </c>
      <c r="C2229" s="5" t="s">
        <v>96</v>
      </c>
      <c r="D2229" s="6">
        <f>IFERROR(__xludf.DUMMYFUNCTION("SPLIT(MID(C2229,2,LEN(C2229)-2), "","")"),572.0)</f>
        <v>572</v>
      </c>
      <c r="E2229" s="7"/>
      <c r="F2229" s="7"/>
      <c r="G2229" s="2" t="str">
        <f t="array" ref="G2229">IF(ISBLANK(D2229), "", INDEX(Categories!$B:$B,MATCH(D2229,Categories!$A:$A,0)))</f>
        <v>Groceries</v>
      </c>
      <c r="H2229" s="7" t="str">
        <f t="array" ref="H2229">IF(ISBLANK(E2229), "", INDEX(Categories!$B:$B,MATCH(E2229,Categories!$A:$A,0)))</f>
        <v/>
      </c>
      <c r="I2229" s="7" t="str">
        <f t="array" ref="I2229">IF(ISBLANK(F2229), "", INDEX(Categories!$B:$B,MATCH(F2229,Categories!$A:$A,0)))</f>
        <v/>
      </c>
      <c r="J2229" s="4"/>
      <c r="K2229" s="4"/>
      <c r="L2229" s="4"/>
      <c r="M2229" s="4"/>
      <c r="N2229" s="4"/>
      <c r="O2229" s="4"/>
      <c r="P2229" s="4"/>
      <c r="Q2229" s="4"/>
    </row>
    <row r="2230">
      <c r="A2230" s="5">
        <v>2229.0</v>
      </c>
      <c r="B2230" s="5" t="s">
        <v>2733</v>
      </c>
      <c r="C2230" s="5" t="s">
        <v>303</v>
      </c>
      <c r="D2230" s="6">
        <f>IFERROR(__xludf.DUMMYFUNCTION("SPLIT(MID(C2230,2,LEN(C2230)-2), "","")"),1241.0)</f>
        <v>1241</v>
      </c>
      <c r="E2230" s="7"/>
      <c r="F2230" s="7"/>
      <c r="G2230" s="2" t="str">
        <f t="array" ref="G2230">IF(ISBLANK(D2230), "", INDEX(Categories!$B:$B,MATCH(D2230,Categories!$A:$A,0)))</f>
        <v>Clothing &amp; Accessories</v>
      </c>
      <c r="H2230" s="7" t="str">
        <f t="array" ref="H2230">IF(ISBLANK(E2230), "", INDEX(Categories!$B:$B,MATCH(E2230,Categories!$A:$A,0)))</f>
        <v/>
      </c>
      <c r="I2230" s="7" t="str">
        <f t="array" ref="I2230">IF(ISBLANK(F2230), "", INDEX(Categories!$B:$B,MATCH(F2230,Categories!$A:$A,0)))</f>
        <v/>
      </c>
      <c r="J2230" s="4"/>
      <c r="K2230" s="4"/>
      <c r="L2230" s="4"/>
      <c r="M2230" s="4"/>
      <c r="N2230" s="4"/>
      <c r="O2230" s="4"/>
      <c r="P2230" s="4"/>
      <c r="Q2230" s="4"/>
    </row>
    <row r="2231">
      <c r="A2231" s="5">
        <v>2230.0</v>
      </c>
      <c r="B2231" s="5" t="s">
        <v>2734</v>
      </c>
      <c r="C2231" s="5" t="s">
        <v>96</v>
      </c>
      <c r="D2231" s="6">
        <f>IFERROR(__xludf.DUMMYFUNCTION("SPLIT(MID(C2231,2,LEN(C2231)-2), "","")"),572.0)</f>
        <v>572</v>
      </c>
      <c r="E2231" s="7"/>
      <c r="F2231" s="7"/>
      <c r="G2231" s="2" t="str">
        <f t="array" ref="G2231">IF(ISBLANK(D2231), "", INDEX(Categories!$B:$B,MATCH(D2231,Categories!$A:$A,0)))</f>
        <v>Groceries</v>
      </c>
      <c r="H2231" s="7" t="str">
        <f t="array" ref="H2231">IF(ISBLANK(E2231), "", INDEX(Categories!$B:$B,MATCH(E2231,Categories!$A:$A,0)))</f>
        <v/>
      </c>
      <c r="I2231" s="7" t="str">
        <f t="array" ref="I2231">IF(ISBLANK(F2231), "", INDEX(Categories!$B:$B,MATCH(F2231,Categories!$A:$A,0)))</f>
        <v/>
      </c>
      <c r="J2231" s="4"/>
      <c r="K2231" s="4"/>
      <c r="L2231" s="4"/>
      <c r="M2231" s="4"/>
      <c r="N2231" s="4"/>
      <c r="O2231" s="4"/>
      <c r="P2231" s="4"/>
      <c r="Q2231" s="4"/>
    </row>
    <row r="2232">
      <c r="A2232" s="5">
        <v>2231.0</v>
      </c>
      <c r="B2232" s="5" t="s">
        <v>2735</v>
      </c>
      <c r="C2232" s="5" t="s">
        <v>1353</v>
      </c>
      <c r="D2232" s="6">
        <f>IFERROR(__xludf.DUMMYFUNCTION("SPLIT(MID(C2232,2,LEN(C2232)-2), "","")"),1740.0)</f>
        <v>1740</v>
      </c>
      <c r="E2232" s="7"/>
      <c r="F2232" s="7"/>
      <c r="G2232" s="2" t="str">
        <f t="array" ref="G2232">IF(ISBLANK(D2232), "", INDEX(Categories!$B:$B,MATCH(D2232,Categories!$A:$A,0)))</f>
        <v>Religious Goods</v>
      </c>
      <c r="H2232" s="7" t="str">
        <f t="array" ref="H2232">IF(ISBLANK(E2232), "", INDEX(Categories!$B:$B,MATCH(E2232,Categories!$A:$A,0)))</f>
        <v/>
      </c>
      <c r="I2232" s="7" t="str">
        <f t="array" ref="I2232">IF(ISBLANK(F2232), "", INDEX(Categories!$B:$B,MATCH(F2232,Categories!$A:$A,0)))</f>
        <v/>
      </c>
      <c r="J2232" s="4"/>
      <c r="K2232" s="4"/>
      <c r="L2232" s="4"/>
      <c r="M2232" s="4"/>
      <c r="N2232" s="4"/>
      <c r="O2232" s="4"/>
      <c r="P2232" s="4"/>
      <c r="Q2232" s="4"/>
    </row>
    <row r="2233">
      <c r="A2233" s="5">
        <v>2232.0</v>
      </c>
      <c r="B2233" s="5" t="s">
        <v>2736</v>
      </c>
      <c r="C2233" s="5" t="s">
        <v>346</v>
      </c>
      <c r="D2233" s="6">
        <f>IFERROR(__xludf.DUMMYFUNCTION("SPLIT(MID(C2233,2,LEN(C2233)-2), "","")"),610.0)</f>
        <v>610</v>
      </c>
      <c r="E2233" s="7"/>
      <c r="F2233" s="7"/>
      <c r="G2233" s="2" t="str">
        <f t="array" ref="G2233">IF(ISBLANK(D2233), "", INDEX(Categories!$B:$B,MATCH(D2233,Categories!$A:$A,0)))</f>
        <v>Supermarkets &amp; Super Stores</v>
      </c>
      <c r="H2233" s="7" t="str">
        <f t="array" ref="H2233">IF(ISBLANK(E2233), "", INDEX(Categories!$B:$B,MATCH(E2233,Categories!$A:$A,0)))</f>
        <v/>
      </c>
      <c r="I2233" s="7" t="str">
        <f t="array" ref="I2233">IF(ISBLANK(F2233), "", INDEX(Categories!$B:$B,MATCH(F2233,Categories!$A:$A,0)))</f>
        <v/>
      </c>
      <c r="J2233" s="4"/>
      <c r="K2233" s="4"/>
      <c r="L2233" s="4"/>
      <c r="M2233" s="4"/>
      <c r="N2233" s="4"/>
      <c r="O2233" s="4"/>
      <c r="P2233" s="4"/>
      <c r="Q2233" s="4"/>
    </row>
    <row r="2234">
      <c r="A2234" s="5">
        <v>2233.0</v>
      </c>
      <c r="B2234" s="5" t="s">
        <v>2737</v>
      </c>
      <c r="C2234" s="5" t="s">
        <v>346</v>
      </c>
      <c r="D2234" s="6">
        <f>IFERROR(__xludf.DUMMYFUNCTION("SPLIT(MID(C2234,2,LEN(C2234)-2), "","")"),610.0)</f>
        <v>610</v>
      </c>
      <c r="E2234" s="7"/>
      <c r="F2234" s="7"/>
      <c r="G2234" s="2" t="str">
        <f t="array" ref="G2234">IF(ISBLANK(D2234), "", INDEX(Categories!$B:$B,MATCH(D2234,Categories!$A:$A,0)))</f>
        <v>Supermarkets &amp; Super Stores</v>
      </c>
      <c r="H2234" s="7" t="str">
        <f t="array" ref="H2234">IF(ISBLANK(E2234), "", INDEX(Categories!$B:$B,MATCH(E2234,Categories!$A:$A,0)))</f>
        <v/>
      </c>
      <c r="I2234" s="7" t="str">
        <f t="array" ref="I2234">IF(ISBLANK(F2234), "", INDEX(Categories!$B:$B,MATCH(F2234,Categories!$A:$A,0)))</f>
        <v/>
      </c>
      <c r="J2234" s="4"/>
      <c r="K2234" s="4"/>
      <c r="L2234" s="4"/>
      <c r="M2234" s="4"/>
      <c r="N2234" s="4"/>
      <c r="O2234" s="4"/>
      <c r="P2234" s="4"/>
      <c r="Q2234" s="4"/>
    </row>
    <row r="2235">
      <c r="A2235" s="5">
        <v>2234.0</v>
      </c>
      <c r="B2235" s="5" t="s">
        <v>2738</v>
      </c>
      <c r="C2235" s="5" t="s">
        <v>96</v>
      </c>
      <c r="D2235" s="6">
        <f>IFERROR(__xludf.DUMMYFUNCTION("SPLIT(MID(C2235,2,LEN(C2235)-2), "","")"),572.0)</f>
        <v>572</v>
      </c>
      <c r="E2235" s="7"/>
      <c r="F2235" s="7"/>
      <c r="G2235" s="2" t="str">
        <f t="array" ref="G2235">IF(ISBLANK(D2235), "", INDEX(Categories!$B:$B,MATCH(D2235,Categories!$A:$A,0)))</f>
        <v>Groceries</v>
      </c>
      <c r="H2235" s="7" t="str">
        <f t="array" ref="H2235">IF(ISBLANK(E2235), "", INDEX(Categories!$B:$B,MATCH(E2235,Categories!$A:$A,0)))</f>
        <v/>
      </c>
      <c r="I2235" s="7" t="str">
        <f t="array" ref="I2235">IF(ISBLANK(F2235), "", INDEX(Categories!$B:$B,MATCH(F2235,Categories!$A:$A,0)))</f>
        <v/>
      </c>
      <c r="J2235" s="4"/>
      <c r="K2235" s="4"/>
      <c r="L2235" s="4"/>
      <c r="M2235" s="4"/>
      <c r="N2235" s="4"/>
      <c r="O2235" s="4"/>
      <c r="P2235" s="4"/>
      <c r="Q2235" s="4"/>
    </row>
    <row r="2236">
      <c r="A2236" s="5">
        <v>2235.0</v>
      </c>
      <c r="B2236" s="5" t="s">
        <v>2739</v>
      </c>
      <c r="C2236" s="5" t="s">
        <v>346</v>
      </c>
      <c r="D2236" s="6">
        <f>IFERROR(__xludf.DUMMYFUNCTION("SPLIT(MID(C2236,2,LEN(C2236)-2), "","")"),610.0)</f>
        <v>610</v>
      </c>
      <c r="E2236" s="7"/>
      <c r="F2236" s="7"/>
      <c r="G2236" s="2" t="str">
        <f t="array" ref="G2236">IF(ISBLANK(D2236), "", INDEX(Categories!$B:$B,MATCH(D2236,Categories!$A:$A,0)))</f>
        <v>Supermarkets &amp; Super Stores</v>
      </c>
      <c r="H2236" s="7" t="str">
        <f t="array" ref="H2236">IF(ISBLANK(E2236), "", INDEX(Categories!$B:$B,MATCH(E2236,Categories!$A:$A,0)))</f>
        <v/>
      </c>
      <c r="I2236" s="7" t="str">
        <f t="array" ref="I2236">IF(ISBLANK(F2236), "", INDEX(Categories!$B:$B,MATCH(F2236,Categories!$A:$A,0)))</f>
        <v/>
      </c>
      <c r="J2236" s="4"/>
      <c r="K2236" s="4"/>
      <c r="L2236" s="4"/>
      <c r="M2236" s="4"/>
      <c r="N2236" s="4"/>
      <c r="O2236" s="4"/>
      <c r="P2236" s="4"/>
      <c r="Q2236" s="4"/>
    </row>
    <row r="2237">
      <c r="A2237" s="5">
        <v>2236.0</v>
      </c>
      <c r="B2237" s="5" t="s">
        <v>2740</v>
      </c>
      <c r="C2237" s="5" t="s">
        <v>96</v>
      </c>
      <c r="D2237" s="6">
        <f>IFERROR(__xludf.DUMMYFUNCTION("SPLIT(MID(C2237,2,LEN(C2237)-2), "","")"),572.0)</f>
        <v>572</v>
      </c>
      <c r="E2237" s="7"/>
      <c r="F2237" s="7"/>
      <c r="G2237" s="2" t="str">
        <f t="array" ref="G2237">IF(ISBLANK(D2237), "", INDEX(Categories!$B:$B,MATCH(D2237,Categories!$A:$A,0)))</f>
        <v>Groceries</v>
      </c>
      <c r="H2237" s="7" t="str">
        <f t="array" ref="H2237">IF(ISBLANK(E2237), "", INDEX(Categories!$B:$B,MATCH(E2237,Categories!$A:$A,0)))</f>
        <v/>
      </c>
      <c r="I2237" s="7" t="str">
        <f t="array" ref="I2237">IF(ISBLANK(F2237), "", INDEX(Categories!$B:$B,MATCH(F2237,Categories!$A:$A,0)))</f>
        <v/>
      </c>
      <c r="J2237" s="4"/>
      <c r="K2237" s="4"/>
      <c r="L2237" s="4"/>
      <c r="M2237" s="4"/>
      <c r="N2237" s="4"/>
      <c r="O2237" s="4"/>
      <c r="P2237" s="4"/>
      <c r="Q2237" s="4"/>
    </row>
    <row r="2238">
      <c r="A2238" s="5">
        <v>2237.0</v>
      </c>
      <c r="B2238" s="5" t="s">
        <v>2741</v>
      </c>
      <c r="C2238" s="5" t="s">
        <v>2742</v>
      </c>
      <c r="D2238" s="6">
        <f>IFERROR(__xludf.DUMMYFUNCTION("SPLIT(MID(C2238,2,LEN(C2238)-2), "","")"),1173.0)</f>
        <v>1173</v>
      </c>
      <c r="E2238" s="7"/>
      <c r="F2238" s="7"/>
      <c r="G2238" s="2" t="str">
        <f t="array" ref="G2238">IF(ISBLANK(D2238), "", INDEX(Categories!$B:$B,MATCH(D2238,Categories!$A:$A,0)))</f>
        <v>Truck Stops</v>
      </c>
      <c r="H2238" s="7" t="str">
        <f t="array" ref="H2238">IF(ISBLANK(E2238), "", INDEX(Categories!$B:$B,MATCH(E2238,Categories!$A:$A,0)))</f>
        <v/>
      </c>
      <c r="I2238" s="7" t="str">
        <f t="array" ref="I2238">IF(ISBLANK(F2238), "", INDEX(Categories!$B:$B,MATCH(F2238,Categories!$A:$A,0)))</f>
        <v/>
      </c>
      <c r="J2238" s="4"/>
      <c r="K2238" s="4"/>
      <c r="L2238" s="4"/>
      <c r="M2238" s="4"/>
      <c r="N2238" s="4"/>
      <c r="O2238" s="4"/>
      <c r="P2238" s="4"/>
      <c r="Q2238" s="4"/>
    </row>
    <row r="2239">
      <c r="A2239" s="5">
        <v>2238.0</v>
      </c>
      <c r="B2239" s="5" t="s">
        <v>2743</v>
      </c>
      <c r="C2239" s="5" t="s">
        <v>96</v>
      </c>
      <c r="D2239" s="6">
        <f>IFERROR(__xludf.DUMMYFUNCTION("SPLIT(MID(C2239,2,LEN(C2239)-2), "","")"),572.0)</f>
        <v>572</v>
      </c>
      <c r="E2239" s="7"/>
      <c r="F2239" s="7"/>
      <c r="G2239" s="2" t="str">
        <f t="array" ref="G2239">IF(ISBLANK(D2239), "", INDEX(Categories!$B:$B,MATCH(D2239,Categories!$A:$A,0)))</f>
        <v>Groceries</v>
      </c>
      <c r="H2239" s="7" t="str">
        <f t="array" ref="H2239">IF(ISBLANK(E2239), "", INDEX(Categories!$B:$B,MATCH(E2239,Categories!$A:$A,0)))</f>
        <v/>
      </c>
      <c r="I2239" s="7" t="str">
        <f t="array" ref="I2239">IF(ISBLANK(F2239), "", INDEX(Categories!$B:$B,MATCH(F2239,Categories!$A:$A,0)))</f>
        <v/>
      </c>
      <c r="J2239" s="4"/>
      <c r="K2239" s="4"/>
      <c r="L2239" s="4"/>
      <c r="M2239" s="4"/>
      <c r="N2239" s="4"/>
      <c r="O2239" s="4"/>
      <c r="P2239" s="4"/>
      <c r="Q2239" s="4"/>
    </row>
    <row r="2240">
      <c r="A2240" s="5">
        <v>2239.0</v>
      </c>
      <c r="B2240" s="5" t="s">
        <v>2744</v>
      </c>
      <c r="C2240" s="5" t="s">
        <v>96</v>
      </c>
      <c r="D2240" s="6">
        <f>IFERROR(__xludf.DUMMYFUNCTION("SPLIT(MID(C2240,2,LEN(C2240)-2), "","")"),572.0)</f>
        <v>572</v>
      </c>
      <c r="E2240" s="7"/>
      <c r="F2240" s="7"/>
      <c r="G2240" s="2" t="str">
        <f t="array" ref="G2240">IF(ISBLANK(D2240), "", INDEX(Categories!$B:$B,MATCH(D2240,Categories!$A:$A,0)))</f>
        <v>Groceries</v>
      </c>
      <c r="H2240" s="7" t="str">
        <f t="array" ref="H2240">IF(ISBLANK(E2240), "", INDEX(Categories!$B:$B,MATCH(E2240,Categories!$A:$A,0)))</f>
        <v/>
      </c>
      <c r="I2240" s="7" t="str">
        <f t="array" ref="I2240">IF(ISBLANK(F2240), "", INDEX(Categories!$B:$B,MATCH(F2240,Categories!$A:$A,0)))</f>
        <v/>
      </c>
      <c r="J2240" s="4"/>
      <c r="K2240" s="4"/>
      <c r="L2240" s="4"/>
      <c r="M2240" s="4"/>
      <c r="N2240" s="4"/>
      <c r="O2240" s="4"/>
      <c r="P2240" s="4"/>
      <c r="Q2240" s="4"/>
    </row>
    <row r="2241">
      <c r="A2241" s="5">
        <v>2240.0</v>
      </c>
      <c r="B2241" s="5" t="s">
        <v>2745</v>
      </c>
      <c r="C2241" s="5" t="s">
        <v>346</v>
      </c>
      <c r="D2241" s="6">
        <f>IFERROR(__xludf.DUMMYFUNCTION("SPLIT(MID(C2241,2,LEN(C2241)-2), "","")"),610.0)</f>
        <v>610</v>
      </c>
      <c r="E2241" s="7"/>
      <c r="F2241" s="7"/>
      <c r="G2241" s="2" t="str">
        <f t="array" ref="G2241">IF(ISBLANK(D2241), "", INDEX(Categories!$B:$B,MATCH(D2241,Categories!$A:$A,0)))</f>
        <v>Supermarkets &amp; Super Stores</v>
      </c>
      <c r="H2241" s="7" t="str">
        <f t="array" ref="H2241">IF(ISBLANK(E2241), "", INDEX(Categories!$B:$B,MATCH(E2241,Categories!$A:$A,0)))</f>
        <v/>
      </c>
      <c r="I2241" s="7" t="str">
        <f t="array" ref="I2241">IF(ISBLANK(F2241), "", INDEX(Categories!$B:$B,MATCH(F2241,Categories!$A:$A,0)))</f>
        <v/>
      </c>
      <c r="J2241" s="4"/>
      <c r="K2241" s="4"/>
      <c r="L2241" s="4"/>
      <c r="M2241" s="4"/>
      <c r="N2241" s="4"/>
      <c r="O2241" s="4"/>
      <c r="P2241" s="4"/>
      <c r="Q2241" s="4"/>
    </row>
    <row r="2242">
      <c r="A2242" s="5">
        <v>2241.0</v>
      </c>
      <c r="B2242" s="5" t="s">
        <v>2746</v>
      </c>
      <c r="C2242" s="5" t="s">
        <v>96</v>
      </c>
      <c r="D2242" s="6">
        <f>IFERROR(__xludf.DUMMYFUNCTION("SPLIT(MID(C2242,2,LEN(C2242)-2), "","")"),572.0)</f>
        <v>572</v>
      </c>
      <c r="E2242" s="7"/>
      <c r="F2242" s="7"/>
      <c r="G2242" s="2" t="str">
        <f t="array" ref="G2242">IF(ISBLANK(D2242), "", INDEX(Categories!$B:$B,MATCH(D2242,Categories!$A:$A,0)))</f>
        <v>Groceries</v>
      </c>
      <c r="H2242" s="7" t="str">
        <f t="array" ref="H2242">IF(ISBLANK(E2242), "", INDEX(Categories!$B:$B,MATCH(E2242,Categories!$A:$A,0)))</f>
        <v/>
      </c>
      <c r="I2242" s="7" t="str">
        <f t="array" ref="I2242">IF(ISBLANK(F2242), "", INDEX(Categories!$B:$B,MATCH(F2242,Categories!$A:$A,0)))</f>
        <v/>
      </c>
      <c r="J2242" s="4"/>
      <c r="K2242" s="4"/>
      <c r="L2242" s="4"/>
      <c r="M2242" s="4"/>
      <c r="N2242" s="4"/>
      <c r="O2242" s="4"/>
      <c r="P2242" s="4"/>
      <c r="Q2242" s="4"/>
    </row>
    <row r="2243">
      <c r="A2243" s="5">
        <v>2242.0</v>
      </c>
      <c r="B2243" s="5" t="s">
        <v>2747</v>
      </c>
      <c r="C2243" s="5" t="s">
        <v>2748</v>
      </c>
      <c r="D2243" s="6">
        <f>IFERROR(__xludf.DUMMYFUNCTION("SPLIT(MID(C2243,2,LEN(C2243)-2), "","")"),591.0)</f>
        <v>591</v>
      </c>
      <c r="E2243" s="7"/>
      <c r="F2243" s="7"/>
      <c r="G2243" s="2" t="str">
        <f t="array" ref="G2243">IF(ISBLANK(D2243), "", INDEX(Categories!$B:$B,MATCH(D2243,Categories!$A:$A,0)))</f>
        <v>Grocers Wholesale</v>
      </c>
      <c r="H2243" s="7" t="str">
        <f t="array" ref="H2243">IF(ISBLANK(E2243), "", INDEX(Categories!$B:$B,MATCH(E2243,Categories!$A:$A,0)))</f>
        <v/>
      </c>
      <c r="I2243" s="7" t="str">
        <f t="array" ref="I2243">IF(ISBLANK(F2243), "", INDEX(Categories!$B:$B,MATCH(F2243,Categories!$A:$A,0)))</f>
        <v/>
      </c>
      <c r="J2243" s="4"/>
      <c r="K2243" s="4"/>
      <c r="L2243" s="4"/>
      <c r="M2243" s="4"/>
      <c r="N2243" s="4"/>
      <c r="O2243" s="4"/>
      <c r="P2243" s="4"/>
      <c r="Q2243" s="4"/>
    </row>
    <row r="2244">
      <c r="A2244" s="5">
        <v>2243.0</v>
      </c>
      <c r="B2244" s="5" t="s">
        <v>2749</v>
      </c>
      <c r="C2244" s="5" t="s">
        <v>1035</v>
      </c>
      <c r="D2244" s="6">
        <f>IFERROR(__xludf.DUMMYFUNCTION("SPLIT(MID(C2244,2,LEN(C2244)-2), "","")"),597.0)</f>
        <v>597</v>
      </c>
      <c r="E2244" s="7"/>
      <c r="F2244" s="7"/>
      <c r="G2244" s="2" t="str">
        <f t="array" ref="G2244">IF(ISBLANK(D2244), "", INDEX(Categories!$B:$B,MATCH(D2244,Categories!$A:$A,0)))</f>
        <v>Meat Markets</v>
      </c>
      <c r="H2244" s="7" t="str">
        <f t="array" ref="H2244">IF(ISBLANK(E2244), "", INDEX(Categories!$B:$B,MATCH(E2244,Categories!$A:$A,0)))</f>
        <v/>
      </c>
      <c r="I2244" s="7" t="str">
        <f t="array" ref="I2244">IF(ISBLANK(F2244), "", INDEX(Categories!$B:$B,MATCH(F2244,Categories!$A:$A,0)))</f>
        <v/>
      </c>
      <c r="J2244" s="4"/>
      <c r="K2244" s="4"/>
      <c r="L2244" s="4"/>
      <c r="M2244" s="4"/>
      <c r="N2244" s="4"/>
      <c r="O2244" s="4"/>
      <c r="P2244" s="4"/>
      <c r="Q2244" s="4"/>
    </row>
    <row r="2245">
      <c r="A2245" s="5">
        <v>2244.0</v>
      </c>
      <c r="B2245" s="5" t="s">
        <v>2750</v>
      </c>
      <c r="C2245" s="5" t="s">
        <v>491</v>
      </c>
      <c r="D2245" s="6">
        <f>IFERROR(__xludf.DUMMYFUNCTION("SPLIT(MID(C2245,2,LEN(C2245)-2), "","")"),692.0)</f>
        <v>692</v>
      </c>
      <c r="E2245" s="7"/>
      <c r="F2245" s="7"/>
      <c r="G2245" s="2" t="str">
        <f t="array" ref="G2245">IF(ISBLANK(D2245), "", INDEX(Categories!$B:$B,MATCH(D2245,Categories!$A:$A,0)))</f>
        <v>Greeting Cards Retail</v>
      </c>
      <c r="H2245" s="7" t="str">
        <f t="array" ref="H2245">IF(ISBLANK(E2245), "", INDEX(Categories!$B:$B,MATCH(E2245,Categories!$A:$A,0)))</f>
        <v/>
      </c>
      <c r="I2245" s="7" t="str">
        <f t="array" ref="I2245">IF(ISBLANK(F2245), "", INDEX(Categories!$B:$B,MATCH(F2245,Categories!$A:$A,0)))</f>
        <v/>
      </c>
      <c r="J2245" s="4"/>
      <c r="K2245" s="4"/>
      <c r="L2245" s="4"/>
      <c r="M2245" s="4"/>
      <c r="N2245" s="4"/>
      <c r="O2245" s="4"/>
      <c r="P2245" s="4"/>
      <c r="Q2245" s="4"/>
    </row>
    <row r="2246">
      <c r="A2246" s="5">
        <v>2245.0</v>
      </c>
      <c r="B2246" s="5" t="s">
        <v>2751</v>
      </c>
      <c r="C2246" s="5" t="s">
        <v>626</v>
      </c>
      <c r="D2246" s="6">
        <f>IFERROR(__xludf.DUMMYFUNCTION("SPLIT(MID(C2246,2,LEN(C2246)-2), "","")"),1247.0)</f>
        <v>1247</v>
      </c>
      <c r="E2246" s="7"/>
      <c r="F2246" s="7"/>
      <c r="G2246" s="2" t="str">
        <f t="array" ref="G2246">IF(ISBLANK(D2246), "", INDEX(Categories!$B:$B,MATCH(D2246,Categories!$A:$A,0)))</f>
        <v>Clothing Children &amp; Infant</v>
      </c>
      <c r="H2246" s="7" t="str">
        <f t="array" ref="H2246">IF(ISBLANK(E2246), "", INDEX(Categories!$B:$B,MATCH(E2246,Categories!$A:$A,0)))</f>
        <v/>
      </c>
      <c r="I2246" s="7" t="str">
        <f t="array" ref="I2246">IF(ISBLANK(F2246), "", INDEX(Categories!$B:$B,MATCH(F2246,Categories!$A:$A,0)))</f>
        <v/>
      </c>
      <c r="J2246" s="4"/>
      <c r="K2246" s="4"/>
      <c r="L2246" s="4"/>
      <c r="M2246" s="4"/>
      <c r="N2246" s="4"/>
      <c r="O2246" s="4"/>
      <c r="P2246" s="4"/>
      <c r="Q2246" s="4"/>
    </row>
    <row r="2247">
      <c r="A2247" s="5">
        <v>2246.0</v>
      </c>
      <c r="B2247" s="5" t="s">
        <v>2752</v>
      </c>
      <c r="C2247" s="5" t="s">
        <v>96</v>
      </c>
      <c r="D2247" s="6">
        <f>IFERROR(__xludf.DUMMYFUNCTION("SPLIT(MID(C2247,2,LEN(C2247)-2), "","")"),572.0)</f>
        <v>572</v>
      </c>
      <c r="E2247" s="7"/>
      <c r="F2247" s="7"/>
      <c r="G2247" s="2" t="str">
        <f t="array" ref="G2247">IF(ISBLANK(D2247), "", INDEX(Categories!$B:$B,MATCH(D2247,Categories!$A:$A,0)))</f>
        <v>Groceries</v>
      </c>
      <c r="H2247" s="7" t="str">
        <f t="array" ref="H2247">IF(ISBLANK(E2247), "", INDEX(Categories!$B:$B,MATCH(E2247,Categories!$A:$A,0)))</f>
        <v/>
      </c>
      <c r="I2247" s="7" t="str">
        <f t="array" ref="I2247">IF(ISBLANK(F2247), "", INDEX(Categories!$B:$B,MATCH(F2247,Categories!$A:$A,0)))</f>
        <v/>
      </c>
      <c r="J2247" s="4"/>
      <c r="K2247" s="4"/>
      <c r="L2247" s="4"/>
      <c r="M2247" s="4"/>
      <c r="N2247" s="4"/>
      <c r="O2247" s="4"/>
      <c r="P2247" s="4"/>
      <c r="Q2247" s="4"/>
    </row>
    <row r="2248">
      <c r="A2248" s="5">
        <v>2247.0</v>
      </c>
      <c r="B2248" s="5" t="s">
        <v>2753</v>
      </c>
      <c r="C2248" s="5" t="s">
        <v>346</v>
      </c>
      <c r="D2248" s="6">
        <f>IFERROR(__xludf.DUMMYFUNCTION("SPLIT(MID(C2248,2,LEN(C2248)-2), "","")"),610.0)</f>
        <v>610</v>
      </c>
      <c r="E2248" s="7"/>
      <c r="F2248" s="7"/>
      <c r="G2248" s="2" t="str">
        <f t="array" ref="G2248">IF(ISBLANK(D2248), "", INDEX(Categories!$B:$B,MATCH(D2248,Categories!$A:$A,0)))</f>
        <v>Supermarkets &amp; Super Stores</v>
      </c>
      <c r="H2248" s="7" t="str">
        <f t="array" ref="H2248">IF(ISBLANK(E2248), "", INDEX(Categories!$B:$B,MATCH(E2248,Categories!$A:$A,0)))</f>
        <v/>
      </c>
      <c r="I2248" s="7" t="str">
        <f t="array" ref="I2248">IF(ISBLANK(F2248), "", INDEX(Categories!$B:$B,MATCH(F2248,Categories!$A:$A,0)))</f>
        <v/>
      </c>
      <c r="J2248" s="4"/>
      <c r="K2248" s="4"/>
      <c r="L2248" s="4"/>
      <c r="M2248" s="4"/>
      <c r="N2248" s="4"/>
      <c r="O2248" s="4"/>
      <c r="P2248" s="4"/>
      <c r="Q2248" s="4"/>
    </row>
    <row r="2249">
      <c r="A2249" s="5">
        <v>2248.0</v>
      </c>
      <c r="B2249" s="5" t="s">
        <v>2754</v>
      </c>
      <c r="C2249" s="5" t="s">
        <v>346</v>
      </c>
      <c r="D2249" s="6">
        <f>IFERROR(__xludf.DUMMYFUNCTION("SPLIT(MID(C2249,2,LEN(C2249)-2), "","")"),610.0)</f>
        <v>610</v>
      </c>
      <c r="E2249" s="7"/>
      <c r="F2249" s="7"/>
      <c r="G2249" s="2" t="str">
        <f t="array" ref="G2249">IF(ISBLANK(D2249), "", INDEX(Categories!$B:$B,MATCH(D2249,Categories!$A:$A,0)))</f>
        <v>Supermarkets &amp; Super Stores</v>
      </c>
      <c r="H2249" s="7" t="str">
        <f t="array" ref="H2249">IF(ISBLANK(E2249), "", INDEX(Categories!$B:$B,MATCH(E2249,Categories!$A:$A,0)))</f>
        <v/>
      </c>
      <c r="I2249" s="7" t="str">
        <f t="array" ref="I2249">IF(ISBLANK(F2249), "", INDEX(Categories!$B:$B,MATCH(F2249,Categories!$A:$A,0)))</f>
        <v/>
      </c>
      <c r="J2249" s="4"/>
      <c r="K2249" s="4"/>
      <c r="L2249" s="4"/>
      <c r="M2249" s="4"/>
      <c r="N2249" s="4"/>
      <c r="O2249" s="4"/>
      <c r="P2249" s="4"/>
      <c r="Q2249" s="4"/>
    </row>
    <row r="2250">
      <c r="A2250" s="5">
        <v>2249.0</v>
      </c>
      <c r="B2250" s="5" t="s">
        <v>2755</v>
      </c>
      <c r="C2250" s="5" t="s">
        <v>96</v>
      </c>
      <c r="D2250" s="6">
        <f>IFERROR(__xludf.DUMMYFUNCTION("SPLIT(MID(C2250,2,LEN(C2250)-2), "","")"),572.0)</f>
        <v>572</v>
      </c>
      <c r="E2250" s="7"/>
      <c r="F2250" s="7"/>
      <c r="G2250" s="2" t="str">
        <f t="array" ref="G2250">IF(ISBLANK(D2250), "", INDEX(Categories!$B:$B,MATCH(D2250,Categories!$A:$A,0)))</f>
        <v>Groceries</v>
      </c>
      <c r="H2250" s="7" t="str">
        <f t="array" ref="H2250">IF(ISBLANK(E2250), "", INDEX(Categories!$B:$B,MATCH(E2250,Categories!$A:$A,0)))</f>
        <v/>
      </c>
      <c r="I2250" s="7" t="str">
        <f t="array" ref="I2250">IF(ISBLANK(F2250), "", INDEX(Categories!$B:$B,MATCH(F2250,Categories!$A:$A,0)))</f>
        <v/>
      </c>
      <c r="J2250" s="4"/>
      <c r="K2250" s="4"/>
      <c r="L2250" s="4"/>
      <c r="M2250" s="4"/>
      <c r="N2250" s="4"/>
      <c r="O2250" s="4"/>
      <c r="P2250" s="4"/>
      <c r="Q2250" s="4"/>
    </row>
    <row r="2251">
      <c r="A2251" s="5">
        <v>2250.0</v>
      </c>
      <c r="B2251" s="5" t="s">
        <v>2756</v>
      </c>
      <c r="C2251" s="5" t="s">
        <v>346</v>
      </c>
      <c r="D2251" s="6">
        <f>IFERROR(__xludf.DUMMYFUNCTION("SPLIT(MID(C2251,2,LEN(C2251)-2), "","")"),610.0)</f>
        <v>610</v>
      </c>
      <c r="E2251" s="7"/>
      <c r="F2251" s="7"/>
      <c r="G2251" s="2" t="str">
        <f t="array" ref="G2251">IF(ISBLANK(D2251), "", INDEX(Categories!$B:$B,MATCH(D2251,Categories!$A:$A,0)))</f>
        <v>Supermarkets &amp; Super Stores</v>
      </c>
      <c r="H2251" s="7" t="str">
        <f t="array" ref="H2251">IF(ISBLANK(E2251), "", INDEX(Categories!$B:$B,MATCH(E2251,Categories!$A:$A,0)))</f>
        <v/>
      </c>
      <c r="I2251" s="7" t="str">
        <f t="array" ref="I2251">IF(ISBLANK(F2251), "", INDEX(Categories!$B:$B,MATCH(F2251,Categories!$A:$A,0)))</f>
        <v/>
      </c>
      <c r="J2251" s="4"/>
      <c r="K2251" s="4"/>
      <c r="L2251" s="4"/>
      <c r="M2251" s="4"/>
      <c r="N2251" s="4"/>
      <c r="O2251" s="4"/>
      <c r="P2251" s="4"/>
      <c r="Q2251" s="4"/>
    </row>
    <row r="2252">
      <c r="A2252" s="5">
        <v>2251.0</v>
      </c>
      <c r="B2252" s="5" t="s">
        <v>2757</v>
      </c>
      <c r="C2252" s="5" t="s">
        <v>96</v>
      </c>
      <c r="D2252" s="6">
        <f>IFERROR(__xludf.DUMMYFUNCTION("SPLIT(MID(C2252,2,LEN(C2252)-2), "","")"),572.0)</f>
        <v>572</v>
      </c>
      <c r="E2252" s="7"/>
      <c r="F2252" s="7"/>
      <c r="G2252" s="2" t="str">
        <f t="array" ref="G2252">IF(ISBLANK(D2252), "", INDEX(Categories!$B:$B,MATCH(D2252,Categories!$A:$A,0)))</f>
        <v>Groceries</v>
      </c>
      <c r="H2252" s="7" t="str">
        <f t="array" ref="H2252">IF(ISBLANK(E2252), "", INDEX(Categories!$B:$B,MATCH(E2252,Categories!$A:$A,0)))</f>
        <v/>
      </c>
      <c r="I2252" s="7" t="str">
        <f t="array" ref="I2252">IF(ISBLANK(F2252), "", INDEX(Categories!$B:$B,MATCH(F2252,Categories!$A:$A,0)))</f>
        <v/>
      </c>
      <c r="J2252" s="4"/>
      <c r="K2252" s="4"/>
      <c r="L2252" s="4"/>
      <c r="M2252" s="4"/>
      <c r="N2252" s="4"/>
      <c r="O2252" s="4"/>
      <c r="P2252" s="4"/>
      <c r="Q2252" s="4"/>
    </row>
    <row r="2253">
      <c r="A2253" s="5">
        <v>2252.0</v>
      </c>
      <c r="B2253" s="5" t="s">
        <v>2758</v>
      </c>
      <c r="C2253" s="5" t="s">
        <v>1764</v>
      </c>
      <c r="D2253" s="6">
        <f>IFERROR(__xludf.DUMMYFUNCTION("SPLIT(MID(C2253,2,LEN(C2253)-2), "","")"),1618.0)</f>
        <v>1618</v>
      </c>
      <c r="E2253" s="7"/>
      <c r="F2253" s="7"/>
      <c r="G2253" s="2" t="str">
        <f t="array" ref="G2253">IF(ISBLANK(D2253), "", INDEX(Categories!$B:$B,MATCH(D2253,Categories!$A:$A,0)))</f>
        <v>General Merchandise Retail</v>
      </c>
      <c r="H2253" s="7" t="str">
        <f t="array" ref="H2253">IF(ISBLANK(E2253), "", INDEX(Categories!$B:$B,MATCH(E2253,Categories!$A:$A,0)))</f>
        <v/>
      </c>
      <c r="I2253" s="7" t="str">
        <f t="array" ref="I2253">IF(ISBLANK(F2253), "", INDEX(Categories!$B:$B,MATCH(F2253,Categories!$A:$A,0)))</f>
        <v/>
      </c>
      <c r="J2253" s="4"/>
      <c r="K2253" s="4"/>
      <c r="L2253" s="4"/>
      <c r="M2253" s="4"/>
      <c r="N2253" s="4"/>
      <c r="O2253" s="4"/>
      <c r="P2253" s="4"/>
      <c r="Q2253" s="4"/>
    </row>
    <row r="2254">
      <c r="A2254" s="5">
        <v>2253.0</v>
      </c>
      <c r="B2254" s="5" t="s">
        <v>2759</v>
      </c>
      <c r="C2254" s="5" t="s">
        <v>96</v>
      </c>
      <c r="D2254" s="6">
        <f>IFERROR(__xludf.DUMMYFUNCTION("SPLIT(MID(C2254,2,LEN(C2254)-2), "","")"),572.0)</f>
        <v>572</v>
      </c>
      <c r="E2254" s="7"/>
      <c r="F2254" s="7"/>
      <c r="G2254" s="2" t="str">
        <f t="array" ref="G2254">IF(ISBLANK(D2254), "", INDEX(Categories!$B:$B,MATCH(D2254,Categories!$A:$A,0)))</f>
        <v>Groceries</v>
      </c>
      <c r="H2254" s="7" t="str">
        <f t="array" ref="H2254">IF(ISBLANK(E2254), "", INDEX(Categories!$B:$B,MATCH(E2254,Categories!$A:$A,0)))</f>
        <v/>
      </c>
      <c r="I2254" s="7" t="str">
        <f t="array" ref="I2254">IF(ISBLANK(F2254), "", INDEX(Categories!$B:$B,MATCH(F2254,Categories!$A:$A,0)))</f>
        <v/>
      </c>
      <c r="J2254" s="4"/>
      <c r="K2254" s="4"/>
      <c r="L2254" s="4"/>
      <c r="M2254" s="4"/>
      <c r="N2254" s="4"/>
      <c r="O2254" s="4"/>
      <c r="P2254" s="4"/>
      <c r="Q2254" s="4"/>
    </row>
    <row r="2255">
      <c r="A2255" s="5">
        <v>2254.0</v>
      </c>
      <c r="B2255" s="5" t="s">
        <v>2760</v>
      </c>
      <c r="C2255" s="5" t="s">
        <v>1006</v>
      </c>
      <c r="D2255" s="6">
        <f>IFERROR(__xludf.DUMMYFUNCTION("SPLIT(MID(C2255,2,LEN(C2255)-2), "","")"),1808.0)</f>
        <v>1808</v>
      </c>
      <c r="E2255" s="7"/>
      <c r="F2255" s="7"/>
      <c r="G2255" s="2" t="str">
        <f t="array" ref="G2255">IF(ISBLANK(D2255), "", INDEX(Categories!$B:$B,MATCH(D2255,Categories!$A:$A,0)))</f>
        <v>Coffee Houses</v>
      </c>
      <c r="H2255" s="7" t="str">
        <f t="array" ref="H2255">IF(ISBLANK(E2255), "", INDEX(Categories!$B:$B,MATCH(E2255,Categories!$A:$A,0)))</f>
        <v/>
      </c>
      <c r="I2255" s="7" t="str">
        <f t="array" ref="I2255">IF(ISBLANK(F2255), "", INDEX(Categories!$B:$B,MATCH(F2255,Categories!$A:$A,0)))</f>
        <v/>
      </c>
      <c r="J2255" s="4"/>
      <c r="K2255" s="4"/>
      <c r="L2255" s="4"/>
      <c r="M2255" s="4"/>
      <c r="N2255" s="4"/>
      <c r="O2255" s="4"/>
      <c r="P2255" s="4"/>
      <c r="Q2255" s="4"/>
    </row>
    <row r="2256">
      <c r="A2256" s="5">
        <v>2255.0</v>
      </c>
      <c r="B2256" s="5" t="s">
        <v>2761</v>
      </c>
      <c r="C2256" s="5" t="s">
        <v>2762</v>
      </c>
      <c r="D2256" s="6">
        <f>IFERROR(__xludf.DUMMYFUNCTION("SPLIT(MID(C2256,2,LEN(C2256)-2), "","")"),684.0)</f>
        <v>684</v>
      </c>
      <c r="E2256" s="7"/>
      <c r="F2256" s="7"/>
      <c r="G2256" s="2" t="str">
        <f t="array" ref="G2256">IF(ISBLANK(D2256), "", INDEX(Categories!$B:$B,MATCH(D2256,Categories!$A:$A,0)))</f>
        <v>Bakers</v>
      </c>
      <c r="H2256" s="7" t="str">
        <f t="array" ref="H2256">IF(ISBLANK(E2256), "", INDEX(Categories!$B:$B,MATCH(E2256,Categories!$A:$A,0)))</f>
        <v/>
      </c>
      <c r="I2256" s="7" t="str">
        <f t="array" ref="I2256">IF(ISBLANK(F2256), "", INDEX(Categories!$B:$B,MATCH(F2256,Categories!$A:$A,0)))</f>
        <v/>
      </c>
      <c r="J2256" s="4"/>
      <c r="K2256" s="4"/>
      <c r="L2256" s="4"/>
      <c r="M2256" s="4"/>
      <c r="N2256" s="4"/>
      <c r="O2256" s="4"/>
      <c r="P2256" s="4"/>
      <c r="Q2256" s="4"/>
    </row>
    <row r="2257">
      <c r="A2257" s="5">
        <v>2256.0</v>
      </c>
      <c r="B2257" s="5" t="s">
        <v>2763</v>
      </c>
      <c r="C2257" s="5" t="s">
        <v>2764</v>
      </c>
      <c r="D2257" s="6">
        <f>IFERROR(__xludf.DUMMYFUNCTION("SPLIT(MID(C2257,2,LEN(C2257)-2), "","")"),878.0)</f>
        <v>878</v>
      </c>
      <c r="E2257" s="7"/>
      <c r="F2257" s="7"/>
      <c r="G2257" s="2" t="str">
        <f t="array" ref="G2257">IF(ISBLANK(D2257), "", INDEX(Categories!$B:$B,MATCH(D2257,Categories!$A:$A,0)))</f>
        <v>Music Sheet</v>
      </c>
      <c r="H2257" s="7" t="str">
        <f t="array" ref="H2257">IF(ISBLANK(E2257), "", INDEX(Categories!$B:$B,MATCH(E2257,Categories!$A:$A,0)))</f>
        <v/>
      </c>
      <c r="I2257" s="7" t="str">
        <f t="array" ref="I2257">IF(ISBLANK(F2257), "", INDEX(Categories!$B:$B,MATCH(F2257,Categories!$A:$A,0)))</f>
        <v/>
      </c>
      <c r="J2257" s="4"/>
      <c r="K2257" s="4"/>
      <c r="L2257" s="4"/>
      <c r="M2257" s="4"/>
      <c r="N2257" s="4"/>
      <c r="O2257" s="4"/>
      <c r="P2257" s="4"/>
      <c r="Q2257" s="4"/>
    </row>
    <row r="2258">
      <c r="A2258" s="5">
        <v>2257.0</v>
      </c>
      <c r="B2258" s="5" t="s">
        <v>2765</v>
      </c>
      <c r="C2258" s="5" t="s">
        <v>1828</v>
      </c>
      <c r="D2258" s="6">
        <f>IFERROR(__xludf.DUMMYFUNCTION("SPLIT(MID(C2258,2,LEN(C2258)-2), "","")"),2069.0)</f>
        <v>2069</v>
      </c>
      <c r="E2258" s="7"/>
      <c r="F2258" s="7"/>
      <c r="G2258" s="2" t="str">
        <f t="array" ref="G2258">IF(ISBLANK(D2258), "", INDEX(Categories!$B:$B,MATCH(D2258,Categories!$A:$A,0)))</f>
        <v>Music Instruction</v>
      </c>
      <c r="H2258" s="7" t="str">
        <f t="array" ref="H2258">IF(ISBLANK(E2258), "", INDEX(Categories!$B:$B,MATCH(E2258,Categories!$A:$A,0)))</f>
        <v/>
      </c>
      <c r="I2258" s="7" t="str">
        <f t="array" ref="I2258">IF(ISBLANK(F2258), "", INDEX(Categories!$B:$B,MATCH(F2258,Categories!$A:$A,0)))</f>
        <v/>
      </c>
      <c r="J2258" s="4"/>
      <c r="K2258" s="4"/>
      <c r="L2258" s="4"/>
      <c r="M2258" s="4"/>
      <c r="N2258" s="4"/>
      <c r="O2258" s="4"/>
      <c r="P2258" s="4"/>
      <c r="Q2258" s="4"/>
    </row>
    <row r="2259">
      <c r="A2259" s="5">
        <v>2258.0</v>
      </c>
      <c r="B2259" s="5" t="s">
        <v>2766</v>
      </c>
      <c r="C2259" s="5" t="s">
        <v>1892</v>
      </c>
      <c r="D2259" s="6">
        <f>IFERROR(__xludf.DUMMYFUNCTION("SPLIT(MID(C2259,2,LEN(C2259)-2), "","")"),759.0)</f>
        <v>759</v>
      </c>
      <c r="E2259" s="7"/>
      <c r="F2259" s="7"/>
      <c r="G2259" s="2" t="str">
        <f t="array" ref="G2259">IF(ISBLANK(D2259), "", INDEX(Categories!$B:$B,MATCH(D2259,Categories!$A:$A,0)))</f>
        <v>Consignment Shops &amp; Services</v>
      </c>
      <c r="H2259" s="7" t="str">
        <f t="array" ref="H2259">IF(ISBLANK(E2259), "", INDEX(Categories!$B:$B,MATCH(E2259,Categories!$A:$A,0)))</f>
        <v/>
      </c>
      <c r="I2259" s="7" t="str">
        <f t="array" ref="I2259">IF(ISBLANK(F2259), "", INDEX(Categories!$B:$B,MATCH(F2259,Categories!$A:$A,0)))</f>
        <v/>
      </c>
      <c r="J2259" s="4"/>
      <c r="K2259" s="4"/>
      <c r="L2259" s="4"/>
      <c r="M2259" s="4"/>
      <c r="N2259" s="4"/>
      <c r="O2259" s="4"/>
      <c r="P2259" s="4"/>
      <c r="Q2259" s="4"/>
    </row>
    <row r="2260">
      <c r="A2260" s="5">
        <v>2259.0</v>
      </c>
      <c r="B2260" s="5" t="s">
        <v>2767</v>
      </c>
      <c r="C2260" s="5" t="s">
        <v>2768</v>
      </c>
      <c r="D2260" s="6">
        <f>IFERROR(__xludf.DUMMYFUNCTION("SPLIT(MID(C2260,2,LEN(C2260)-2), "","")"),744.0)</f>
        <v>744</v>
      </c>
      <c r="E2260" s="7"/>
      <c r="F2260" s="7"/>
      <c r="G2260" s="2" t="str">
        <f t="array" ref="G2260">IF(ISBLANK(D2260), "", INDEX(Categories!$B:$B,MATCH(D2260,Categories!$A:$A,0)))</f>
        <v>Shoes Repairing</v>
      </c>
      <c r="H2260" s="7" t="str">
        <f t="array" ref="H2260">IF(ISBLANK(E2260), "", INDEX(Categories!$B:$B,MATCH(E2260,Categories!$A:$A,0)))</f>
        <v/>
      </c>
      <c r="I2260" s="7" t="str">
        <f t="array" ref="I2260">IF(ISBLANK(F2260), "", INDEX(Categories!$B:$B,MATCH(F2260,Categories!$A:$A,0)))</f>
        <v/>
      </c>
      <c r="J2260" s="4"/>
      <c r="K2260" s="4"/>
      <c r="L2260" s="4"/>
      <c r="M2260" s="4"/>
      <c r="N2260" s="4"/>
      <c r="O2260" s="4"/>
      <c r="P2260" s="4"/>
      <c r="Q2260" s="4"/>
    </row>
    <row r="2261">
      <c r="A2261" s="5">
        <v>2260.0</v>
      </c>
      <c r="B2261" s="5" t="s">
        <v>2769</v>
      </c>
      <c r="C2261" s="5" t="s">
        <v>255</v>
      </c>
      <c r="D2261" s="6">
        <f>IFERROR(__xludf.DUMMYFUNCTION("SPLIT(MID(C2261,2,LEN(C2261)-2), "","")"),1462.0)</f>
        <v>1462</v>
      </c>
      <c r="E2261" s="7"/>
      <c r="F2261" s="7"/>
      <c r="G2261" s="2" t="str">
        <f t="array" ref="G2261">IF(ISBLANK(D2261), "", INDEX(Categories!$B:$B,MATCH(D2261,Categories!$A:$A,0)))</f>
        <v>Toys Retail</v>
      </c>
      <c r="H2261" s="7" t="str">
        <f t="array" ref="H2261">IF(ISBLANK(E2261), "", INDEX(Categories!$B:$B,MATCH(E2261,Categories!$A:$A,0)))</f>
        <v/>
      </c>
      <c r="I2261" s="7" t="str">
        <f t="array" ref="I2261">IF(ISBLANK(F2261), "", INDEX(Categories!$B:$B,MATCH(F2261,Categories!$A:$A,0)))</f>
        <v/>
      </c>
      <c r="J2261" s="4"/>
      <c r="K2261" s="4"/>
      <c r="L2261" s="4"/>
      <c r="M2261" s="4"/>
      <c r="N2261" s="4"/>
      <c r="O2261" s="4"/>
      <c r="P2261" s="4"/>
      <c r="Q2261" s="4"/>
    </row>
    <row r="2262">
      <c r="A2262" s="5">
        <v>2261.0</v>
      </c>
      <c r="B2262" s="5" t="s">
        <v>2770</v>
      </c>
      <c r="C2262" s="5" t="s">
        <v>115</v>
      </c>
      <c r="D2262" s="6">
        <f>IFERROR(__xludf.DUMMYFUNCTION("SPLIT(MID(C2262,2,LEN(C2262)-2), "","")"),1272.0)</f>
        <v>1272</v>
      </c>
      <c r="E2262" s="7"/>
      <c r="F2262" s="7"/>
      <c r="G2262" s="2" t="str">
        <f t="array" ref="G2262">IF(ISBLANK(D2262), "", INDEX(Categories!$B:$B,MATCH(D2262,Categories!$A:$A,0)))</f>
        <v>Womens Apparel</v>
      </c>
      <c r="H2262" s="7" t="str">
        <f t="array" ref="H2262">IF(ISBLANK(E2262), "", INDEX(Categories!$B:$B,MATCH(E2262,Categories!$A:$A,0)))</f>
        <v/>
      </c>
      <c r="I2262" s="7" t="str">
        <f t="array" ref="I2262">IF(ISBLANK(F2262), "", INDEX(Categories!$B:$B,MATCH(F2262,Categories!$A:$A,0)))</f>
        <v/>
      </c>
      <c r="J2262" s="4"/>
      <c r="K2262" s="4"/>
      <c r="L2262" s="4"/>
      <c r="M2262" s="4"/>
      <c r="N2262" s="4"/>
      <c r="O2262" s="4"/>
      <c r="P2262" s="4"/>
      <c r="Q2262" s="4"/>
    </row>
    <row r="2263">
      <c r="A2263" s="5">
        <v>2262.0</v>
      </c>
      <c r="B2263" s="5" t="s">
        <v>2771</v>
      </c>
      <c r="C2263" s="5" t="s">
        <v>87</v>
      </c>
      <c r="D2263" s="6">
        <f>IFERROR(__xludf.DUMMYFUNCTION("SPLIT(MID(C2263,2,LEN(C2263)-2), "","")"),168.0)</f>
        <v>168</v>
      </c>
      <c r="E2263" s="7"/>
      <c r="F2263" s="7"/>
      <c r="G2263" s="2" t="str">
        <f t="array" ref="G2263">IF(ISBLANK(D2263), "", INDEX(Categories!$B:$B,MATCH(D2263,Categories!$A:$A,0)))</f>
        <v>Hotels &amp; Motels</v>
      </c>
      <c r="H2263" s="7" t="str">
        <f t="array" ref="H2263">IF(ISBLANK(E2263), "", INDEX(Categories!$B:$B,MATCH(E2263,Categories!$A:$A,0)))</f>
        <v/>
      </c>
      <c r="I2263" s="7" t="str">
        <f t="array" ref="I2263">IF(ISBLANK(F2263), "", INDEX(Categories!$B:$B,MATCH(F2263,Categories!$A:$A,0)))</f>
        <v/>
      </c>
      <c r="J2263" s="4"/>
      <c r="K2263" s="4"/>
      <c r="L2263" s="4"/>
      <c r="M2263" s="4"/>
      <c r="N2263" s="4"/>
      <c r="O2263" s="4"/>
      <c r="P2263" s="4"/>
      <c r="Q2263" s="4"/>
    </row>
    <row r="2264">
      <c r="A2264" s="5">
        <v>2263.0</v>
      </c>
      <c r="B2264" s="5" t="s">
        <v>2772</v>
      </c>
      <c r="C2264" s="5" t="s">
        <v>87</v>
      </c>
      <c r="D2264" s="6">
        <f>IFERROR(__xludf.DUMMYFUNCTION("SPLIT(MID(C2264,2,LEN(C2264)-2), "","")"),168.0)</f>
        <v>168</v>
      </c>
      <c r="E2264" s="7"/>
      <c r="F2264" s="7"/>
      <c r="G2264" s="2" t="str">
        <f t="array" ref="G2264">IF(ISBLANK(D2264), "", INDEX(Categories!$B:$B,MATCH(D2264,Categories!$A:$A,0)))</f>
        <v>Hotels &amp; Motels</v>
      </c>
      <c r="H2264" s="7" t="str">
        <f t="array" ref="H2264">IF(ISBLANK(E2264), "", INDEX(Categories!$B:$B,MATCH(E2264,Categories!$A:$A,0)))</f>
        <v/>
      </c>
      <c r="I2264" s="7" t="str">
        <f t="array" ref="I2264">IF(ISBLANK(F2264), "", INDEX(Categories!$B:$B,MATCH(F2264,Categories!$A:$A,0)))</f>
        <v/>
      </c>
      <c r="J2264" s="4"/>
      <c r="K2264" s="4"/>
      <c r="L2264" s="4"/>
      <c r="M2264" s="4"/>
      <c r="N2264" s="4"/>
      <c r="O2264" s="4"/>
      <c r="P2264" s="4"/>
      <c r="Q2264" s="4"/>
    </row>
    <row r="2265">
      <c r="A2265" s="5">
        <v>2264.0</v>
      </c>
      <c r="B2265" s="5" t="s">
        <v>2773</v>
      </c>
      <c r="C2265" s="5" t="s">
        <v>87</v>
      </c>
      <c r="D2265" s="6">
        <f>IFERROR(__xludf.DUMMYFUNCTION("SPLIT(MID(C2265,2,LEN(C2265)-2), "","")"),168.0)</f>
        <v>168</v>
      </c>
      <c r="E2265" s="7"/>
      <c r="F2265" s="7"/>
      <c r="G2265" s="2" t="str">
        <f t="array" ref="G2265">IF(ISBLANK(D2265), "", INDEX(Categories!$B:$B,MATCH(D2265,Categories!$A:$A,0)))</f>
        <v>Hotels &amp; Motels</v>
      </c>
      <c r="H2265" s="7" t="str">
        <f t="array" ref="H2265">IF(ISBLANK(E2265), "", INDEX(Categories!$B:$B,MATCH(E2265,Categories!$A:$A,0)))</f>
        <v/>
      </c>
      <c r="I2265" s="7" t="str">
        <f t="array" ref="I2265">IF(ISBLANK(F2265), "", INDEX(Categories!$B:$B,MATCH(F2265,Categories!$A:$A,0)))</f>
        <v/>
      </c>
      <c r="J2265" s="4"/>
      <c r="K2265" s="4"/>
      <c r="L2265" s="4"/>
      <c r="M2265" s="4"/>
      <c r="N2265" s="4"/>
      <c r="O2265" s="4"/>
      <c r="P2265" s="4"/>
      <c r="Q2265" s="4"/>
    </row>
    <row r="2266">
      <c r="A2266" s="5">
        <v>2265.0</v>
      </c>
      <c r="B2266" s="5" t="s">
        <v>2774</v>
      </c>
      <c r="C2266" s="5" t="s">
        <v>87</v>
      </c>
      <c r="D2266" s="6">
        <f>IFERROR(__xludf.DUMMYFUNCTION("SPLIT(MID(C2266,2,LEN(C2266)-2), "","")"),168.0)</f>
        <v>168</v>
      </c>
      <c r="E2266" s="7"/>
      <c r="F2266" s="7"/>
      <c r="G2266" s="2" t="str">
        <f t="array" ref="G2266">IF(ISBLANK(D2266), "", INDEX(Categories!$B:$B,MATCH(D2266,Categories!$A:$A,0)))</f>
        <v>Hotels &amp; Motels</v>
      </c>
      <c r="H2266" s="7" t="str">
        <f t="array" ref="H2266">IF(ISBLANK(E2266), "", INDEX(Categories!$B:$B,MATCH(E2266,Categories!$A:$A,0)))</f>
        <v/>
      </c>
      <c r="I2266" s="7" t="str">
        <f t="array" ref="I2266">IF(ISBLANK(F2266), "", INDEX(Categories!$B:$B,MATCH(F2266,Categories!$A:$A,0)))</f>
        <v/>
      </c>
      <c r="J2266" s="4"/>
      <c r="K2266" s="4"/>
      <c r="L2266" s="4"/>
      <c r="M2266" s="4"/>
      <c r="N2266" s="4"/>
      <c r="O2266" s="4"/>
      <c r="P2266" s="4"/>
      <c r="Q2266" s="4"/>
    </row>
    <row r="2267">
      <c r="A2267" s="5">
        <v>2266.0</v>
      </c>
      <c r="B2267" s="5" t="s">
        <v>2775</v>
      </c>
      <c r="C2267" s="5" t="s">
        <v>346</v>
      </c>
      <c r="D2267" s="6">
        <f>IFERROR(__xludf.DUMMYFUNCTION("SPLIT(MID(C2267,2,LEN(C2267)-2), "","")"),610.0)</f>
        <v>610</v>
      </c>
      <c r="E2267" s="7"/>
      <c r="F2267" s="7"/>
      <c r="G2267" s="2" t="str">
        <f t="array" ref="G2267">IF(ISBLANK(D2267), "", INDEX(Categories!$B:$B,MATCH(D2267,Categories!$A:$A,0)))</f>
        <v>Supermarkets &amp; Super Stores</v>
      </c>
      <c r="H2267" s="7" t="str">
        <f t="array" ref="H2267">IF(ISBLANK(E2267), "", INDEX(Categories!$B:$B,MATCH(E2267,Categories!$A:$A,0)))</f>
        <v/>
      </c>
      <c r="I2267" s="7" t="str">
        <f t="array" ref="I2267">IF(ISBLANK(F2267), "", INDEX(Categories!$B:$B,MATCH(F2267,Categories!$A:$A,0)))</f>
        <v/>
      </c>
      <c r="J2267" s="4"/>
      <c r="K2267" s="4"/>
      <c r="L2267" s="4"/>
      <c r="M2267" s="4"/>
      <c r="N2267" s="4"/>
      <c r="O2267" s="4"/>
      <c r="P2267" s="4"/>
      <c r="Q2267" s="4"/>
    </row>
    <row r="2268">
      <c r="A2268" s="5">
        <v>2267.0</v>
      </c>
      <c r="B2268" s="5" t="s">
        <v>2776</v>
      </c>
      <c r="C2268" s="5" t="s">
        <v>170</v>
      </c>
      <c r="D2268" s="6">
        <f>IFERROR(__xludf.DUMMYFUNCTION("SPLIT(MID(C2268,2,LEN(C2268)-2), "","")"),189.0)</f>
        <v>189</v>
      </c>
      <c r="E2268" s="7"/>
      <c r="F2268" s="7"/>
      <c r="G2268" s="2" t="str">
        <f t="array" ref="G2268">IF(ISBLANK(D2268), "", INDEX(Categories!$B:$B,MATCH(D2268,Categories!$A:$A,0)))</f>
        <v>Pharmacies</v>
      </c>
      <c r="H2268" s="7" t="str">
        <f t="array" ref="H2268">IF(ISBLANK(E2268), "", INDEX(Categories!$B:$B,MATCH(E2268,Categories!$A:$A,0)))</f>
        <v/>
      </c>
      <c r="I2268" s="7" t="str">
        <f t="array" ref="I2268">IF(ISBLANK(F2268), "", INDEX(Categories!$B:$B,MATCH(F2268,Categories!$A:$A,0)))</f>
        <v/>
      </c>
      <c r="J2268" s="4"/>
      <c r="K2268" s="4"/>
      <c r="L2268" s="4"/>
      <c r="M2268" s="4"/>
      <c r="N2268" s="4"/>
      <c r="O2268" s="4"/>
      <c r="P2268" s="4"/>
      <c r="Q2268" s="4"/>
    </row>
    <row r="2269">
      <c r="A2269" s="5">
        <v>2268.0</v>
      </c>
      <c r="B2269" s="5" t="s">
        <v>2777</v>
      </c>
      <c r="C2269" s="5" t="s">
        <v>87</v>
      </c>
      <c r="D2269" s="6">
        <f>IFERROR(__xludf.DUMMYFUNCTION("SPLIT(MID(C2269,2,LEN(C2269)-2), "","")"),168.0)</f>
        <v>168</v>
      </c>
      <c r="E2269" s="7"/>
      <c r="F2269" s="7"/>
      <c r="G2269" s="2" t="str">
        <f t="array" ref="G2269">IF(ISBLANK(D2269), "", INDEX(Categories!$B:$B,MATCH(D2269,Categories!$A:$A,0)))</f>
        <v>Hotels &amp; Motels</v>
      </c>
      <c r="H2269" s="7" t="str">
        <f t="array" ref="H2269">IF(ISBLANK(E2269), "", INDEX(Categories!$B:$B,MATCH(E2269,Categories!$A:$A,0)))</f>
        <v/>
      </c>
      <c r="I2269" s="7" t="str">
        <f t="array" ref="I2269">IF(ISBLANK(F2269), "", INDEX(Categories!$B:$B,MATCH(F2269,Categories!$A:$A,0)))</f>
        <v/>
      </c>
      <c r="J2269" s="4"/>
      <c r="K2269" s="4"/>
      <c r="L2269" s="4"/>
      <c r="M2269" s="4"/>
      <c r="N2269" s="4"/>
      <c r="O2269" s="4"/>
      <c r="P2269" s="4"/>
      <c r="Q2269" s="4"/>
    </row>
    <row r="2270">
      <c r="A2270" s="5">
        <v>2269.0</v>
      </c>
      <c r="B2270" s="5" t="s">
        <v>2778</v>
      </c>
      <c r="C2270" s="5" t="s">
        <v>32</v>
      </c>
      <c r="D2270" s="6">
        <f>IFERROR(__xludf.DUMMYFUNCTION("SPLIT(MID(C2270,2,LEN(C2270)-2), "","")"),2631.0)</f>
        <v>2631</v>
      </c>
      <c r="E2270" s="7"/>
      <c r="F2270" s="7"/>
      <c r="G2270" s="2" t="str">
        <f t="array" ref="G2270">IF(ISBLANK(D2270), "", INDEX(Categories!$B:$B,MATCH(D2270,Categories!$A:$A,0)))</f>
        <v>Housewares &amp; Home Decor</v>
      </c>
      <c r="H2270" s="7" t="str">
        <f t="array" ref="H2270">IF(ISBLANK(E2270), "", INDEX(Categories!$B:$B,MATCH(E2270,Categories!$A:$A,0)))</f>
        <v/>
      </c>
      <c r="I2270" s="7" t="str">
        <f t="array" ref="I2270">IF(ISBLANK(F2270), "", INDEX(Categories!$B:$B,MATCH(F2270,Categories!$A:$A,0)))</f>
        <v/>
      </c>
      <c r="J2270" s="4"/>
      <c r="K2270" s="4"/>
      <c r="L2270" s="4"/>
      <c r="M2270" s="4"/>
      <c r="N2270" s="4"/>
      <c r="O2270" s="4"/>
      <c r="P2270" s="4"/>
      <c r="Q2270" s="4"/>
    </row>
    <row r="2271">
      <c r="A2271" s="5">
        <v>2270.0</v>
      </c>
      <c r="B2271" s="5" t="s">
        <v>2779</v>
      </c>
      <c r="C2271" s="5" t="s">
        <v>43</v>
      </c>
      <c r="D2271" s="6">
        <f>IFERROR(__xludf.DUMMYFUNCTION("SPLIT(MID(C2271,2,LEN(C2271)-2), "","")"),292.0)</f>
        <v>292</v>
      </c>
      <c r="E2271" s="7"/>
      <c r="F2271" s="7"/>
      <c r="G2271" s="2" t="str">
        <f t="array" ref="G2271">IF(ISBLANK(D2271), "", INDEX(Categories!$B:$B,MATCH(D2271,Categories!$A:$A,0)))</f>
        <v>Banks</v>
      </c>
      <c r="H2271" s="7" t="str">
        <f t="array" ref="H2271">IF(ISBLANK(E2271), "", INDEX(Categories!$B:$B,MATCH(E2271,Categories!$A:$A,0)))</f>
        <v/>
      </c>
      <c r="I2271" s="7" t="str">
        <f t="array" ref="I2271">IF(ISBLANK(F2271), "", INDEX(Categories!$B:$B,MATCH(F2271,Categories!$A:$A,0)))</f>
        <v/>
      </c>
      <c r="J2271" s="4"/>
      <c r="K2271" s="4"/>
      <c r="L2271" s="4"/>
      <c r="M2271" s="4"/>
      <c r="N2271" s="4"/>
      <c r="O2271" s="4"/>
      <c r="P2271" s="4"/>
      <c r="Q2271" s="4"/>
    </row>
    <row r="2272">
      <c r="A2272" s="5">
        <v>2271.0</v>
      </c>
      <c r="B2272" s="5" t="s">
        <v>2780</v>
      </c>
      <c r="C2272" s="5" t="s">
        <v>166</v>
      </c>
      <c r="D2272" s="6">
        <f>IFERROR(__xludf.DUMMYFUNCTION("SPLIT(MID(C2272,2,LEN(C2272)-2), "","")"),1763.0)</f>
        <v>1763</v>
      </c>
      <c r="E2272" s="7"/>
      <c r="F2272" s="7"/>
      <c r="G2272" s="2" t="str">
        <f t="array" ref="G2272">IF(ISBLANK(D2272), "", INDEX(Categories!$B:$B,MATCH(D2272,Categories!$A:$A,0)))</f>
        <v>Mailing Service</v>
      </c>
      <c r="H2272" s="7" t="str">
        <f t="array" ref="H2272">IF(ISBLANK(E2272), "", INDEX(Categories!$B:$B,MATCH(E2272,Categories!$A:$A,0)))</f>
        <v/>
      </c>
      <c r="I2272" s="7" t="str">
        <f t="array" ref="I2272">IF(ISBLANK(F2272), "", INDEX(Categories!$B:$B,MATCH(F2272,Categories!$A:$A,0)))</f>
        <v/>
      </c>
      <c r="J2272" s="4"/>
      <c r="K2272" s="4"/>
      <c r="L2272" s="4"/>
      <c r="M2272" s="4"/>
      <c r="N2272" s="4"/>
      <c r="O2272" s="4"/>
      <c r="P2272" s="4"/>
      <c r="Q2272" s="4"/>
    </row>
    <row r="2273">
      <c r="A2273" s="5">
        <v>2272.0</v>
      </c>
      <c r="B2273" s="5" t="s">
        <v>2781</v>
      </c>
      <c r="C2273" s="5" t="s">
        <v>43</v>
      </c>
      <c r="D2273" s="6">
        <f>IFERROR(__xludf.DUMMYFUNCTION("SPLIT(MID(C2273,2,LEN(C2273)-2), "","")"),292.0)</f>
        <v>292</v>
      </c>
      <c r="E2273" s="7"/>
      <c r="F2273" s="7"/>
      <c r="G2273" s="2" t="str">
        <f t="array" ref="G2273">IF(ISBLANK(D2273), "", INDEX(Categories!$B:$B,MATCH(D2273,Categories!$A:$A,0)))</f>
        <v>Banks</v>
      </c>
      <c r="H2273" s="7" t="str">
        <f t="array" ref="H2273">IF(ISBLANK(E2273), "", INDEX(Categories!$B:$B,MATCH(E2273,Categories!$A:$A,0)))</f>
        <v/>
      </c>
      <c r="I2273" s="7" t="str">
        <f t="array" ref="I2273">IF(ISBLANK(F2273), "", INDEX(Categories!$B:$B,MATCH(F2273,Categories!$A:$A,0)))</f>
        <v/>
      </c>
      <c r="J2273" s="4"/>
      <c r="K2273" s="4"/>
      <c r="L2273" s="4"/>
      <c r="M2273" s="4"/>
      <c r="N2273" s="4"/>
      <c r="O2273" s="4"/>
      <c r="P2273" s="4"/>
      <c r="Q2273" s="4"/>
    </row>
    <row r="2274">
      <c r="A2274" s="5">
        <v>2273.0</v>
      </c>
      <c r="B2274" s="5" t="s">
        <v>2782</v>
      </c>
      <c r="C2274" s="5" t="s">
        <v>274</v>
      </c>
      <c r="D2274" s="6">
        <f>IFERROR(__xludf.DUMMYFUNCTION("SPLIT(MID(C2274,2,LEN(C2274)-2), "","")"),619.0)</f>
        <v>619</v>
      </c>
      <c r="E2274" s="7"/>
      <c r="F2274" s="7"/>
      <c r="G2274" s="2" t="str">
        <f t="array" ref="G2274">IF(ISBLANK(D2274), "", INDEX(Categories!$B:$B,MATCH(D2274,Categories!$A:$A,0)))</f>
        <v>Jewelry</v>
      </c>
      <c r="H2274" s="7" t="str">
        <f t="array" ref="H2274">IF(ISBLANK(E2274), "", INDEX(Categories!$B:$B,MATCH(E2274,Categories!$A:$A,0)))</f>
        <v/>
      </c>
      <c r="I2274" s="7" t="str">
        <f t="array" ref="I2274">IF(ISBLANK(F2274), "", INDEX(Categories!$B:$B,MATCH(F2274,Categories!$A:$A,0)))</f>
        <v/>
      </c>
      <c r="J2274" s="4"/>
      <c r="K2274" s="4"/>
      <c r="L2274" s="4"/>
      <c r="M2274" s="4"/>
      <c r="N2274" s="4"/>
      <c r="O2274" s="4"/>
      <c r="P2274" s="4"/>
      <c r="Q2274" s="4"/>
    </row>
    <row r="2275">
      <c r="A2275" s="5">
        <v>2274.0</v>
      </c>
      <c r="B2275" s="5" t="s">
        <v>2783</v>
      </c>
      <c r="C2275" s="5" t="s">
        <v>34</v>
      </c>
      <c r="D2275" s="6">
        <f>IFERROR(__xludf.DUMMYFUNCTION("SPLIT(MID(C2275,2,LEN(C2275)-2), "","")"),228.0)</f>
        <v>228</v>
      </c>
      <c r="E2275" s="7"/>
      <c r="F2275" s="7"/>
      <c r="G2275" s="2" t="str">
        <f t="array" ref="G2275">IF(ISBLANK(D2275), "", INDEX(Categories!$B:$B,MATCH(D2275,Categories!$A:$A,0)))</f>
        <v>Restaurants</v>
      </c>
      <c r="H2275" s="7" t="str">
        <f t="array" ref="H2275">IF(ISBLANK(E2275), "", INDEX(Categories!$B:$B,MATCH(E2275,Categories!$A:$A,0)))</f>
        <v/>
      </c>
      <c r="I2275" s="7" t="str">
        <f t="array" ref="I2275">IF(ISBLANK(F2275), "", INDEX(Categories!$B:$B,MATCH(F2275,Categories!$A:$A,0)))</f>
        <v/>
      </c>
      <c r="J2275" s="4"/>
      <c r="K2275" s="4"/>
      <c r="L2275" s="4"/>
      <c r="M2275" s="4"/>
      <c r="N2275" s="4"/>
      <c r="O2275" s="4"/>
      <c r="P2275" s="4"/>
      <c r="Q2275" s="4"/>
    </row>
    <row r="2276">
      <c r="A2276" s="5">
        <v>2275.0</v>
      </c>
      <c r="B2276" s="5" t="s">
        <v>2784</v>
      </c>
      <c r="C2276" s="5" t="s">
        <v>111</v>
      </c>
      <c r="D2276" s="6">
        <f>IFERROR(__xludf.DUMMYFUNCTION("SPLIT(MID(C2276,2,LEN(C2276)-2), "","")"),444.0)</f>
        <v>444</v>
      </c>
      <c r="E2276" s="7"/>
      <c r="F2276" s="7"/>
      <c r="G2276" s="2" t="str">
        <f t="array" ref="G2276">IF(ISBLANK(D2276), "", INDEX(Categories!$B:$B,MATCH(D2276,Categories!$A:$A,0)))</f>
        <v>Hair Salons &amp; Barbers</v>
      </c>
      <c r="H2276" s="7" t="str">
        <f t="array" ref="H2276">IF(ISBLANK(E2276), "", INDEX(Categories!$B:$B,MATCH(E2276,Categories!$A:$A,0)))</f>
        <v/>
      </c>
      <c r="I2276" s="7" t="str">
        <f t="array" ref="I2276">IF(ISBLANK(F2276), "", INDEX(Categories!$B:$B,MATCH(F2276,Categories!$A:$A,0)))</f>
        <v/>
      </c>
      <c r="J2276" s="4"/>
      <c r="K2276" s="4"/>
      <c r="L2276" s="4"/>
      <c r="M2276" s="4"/>
      <c r="N2276" s="4"/>
      <c r="O2276" s="4"/>
      <c r="P2276" s="4"/>
      <c r="Q2276" s="4"/>
    </row>
    <row r="2277">
      <c r="A2277" s="5">
        <v>2276.0</v>
      </c>
      <c r="B2277" s="5" t="s">
        <v>2785</v>
      </c>
      <c r="C2277" s="5" t="s">
        <v>34</v>
      </c>
      <c r="D2277" s="6">
        <f>IFERROR(__xludf.DUMMYFUNCTION("SPLIT(MID(C2277,2,LEN(C2277)-2), "","")"),228.0)</f>
        <v>228</v>
      </c>
      <c r="E2277" s="7"/>
      <c r="F2277" s="7"/>
      <c r="G2277" s="2" t="str">
        <f t="array" ref="G2277">IF(ISBLANK(D2277), "", INDEX(Categories!$B:$B,MATCH(D2277,Categories!$A:$A,0)))</f>
        <v>Restaurants</v>
      </c>
      <c r="H2277" s="7" t="str">
        <f t="array" ref="H2277">IF(ISBLANK(E2277), "", INDEX(Categories!$B:$B,MATCH(E2277,Categories!$A:$A,0)))</f>
        <v/>
      </c>
      <c r="I2277" s="7" t="str">
        <f t="array" ref="I2277">IF(ISBLANK(F2277), "", INDEX(Categories!$B:$B,MATCH(F2277,Categories!$A:$A,0)))</f>
        <v/>
      </c>
      <c r="J2277" s="4"/>
      <c r="K2277" s="4"/>
      <c r="L2277" s="4"/>
      <c r="M2277" s="4"/>
      <c r="N2277" s="4"/>
      <c r="O2277" s="4"/>
      <c r="P2277" s="4"/>
      <c r="Q2277" s="4"/>
    </row>
    <row r="2278">
      <c r="A2278" s="5">
        <v>2277.0</v>
      </c>
      <c r="B2278" s="5" t="s">
        <v>2786</v>
      </c>
      <c r="C2278" s="5" t="s">
        <v>307</v>
      </c>
      <c r="D2278" s="6">
        <f>IFERROR(__xludf.DUMMYFUNCTION("SPLIT(MID(C2278,2,LEN(C2278)-2), "","")"),241.0)</f>
        <v>241</v>
      </c>
      <c r="E2278" s="7"/>
      <c r="F2278" s="7"/>
      <c r="G2278" s="2" t="str">
        <f t="array" ref="G2278">IF(ISBLANK(D2278), "", INDEX(Categories!$B:$B,MATCH(D2278,Categories!$A:$A,0)))</f>
        <v>Restaurants Mexican</v>
      </c>
      <c r="H2278" s="7" t="str">
        <f t="array" ref="H2278">IF(ISBLANK(E2278), "", INDEX(Categories!$B:$B,MATCH(E2278,Categories!$A:$A,0)))</f>
        <v/>
      </c>
      <c r="I2278" s="7" t="str">
        <f t="array" ref="I2278">IF(ISBLANK(F2278), "", INDEX(Categories!$B:$B,MATCH(F2278,Categories!$A:$A,0)))</f>
        <v/>
      </c>
      <c r="J2278" s="4"/>
      <c r="K2278" s="4"/>
      <c r="L2278" s="4"/>
      <c r="M2278" s="4"/>
      <c r="N2278" s="4"/>
      <c r="O2278" s="4"/>
      <c r="P2278" s="4"/>
      <c r="Q2278" s="4"/>
    </row>
    <row r="2279">
      <c r="A2279" s="5">
        <v>2278.0</v>
      </c>
      <c r="B2279" s="5" t="s">
        <v>2787</v>
      </c>
      <c r="C2279" s="5" t="s">
        <v>303</v>
      </c>
      <c r="D2279" s="6">
        <f>IFERROR(__xludf.DUMMYFUNCTION("SPLIT(MID(C2279,2,LEN(C2279)-2), "","")"),1241.0)</f>
        <v>1241</v>
      </c>
      <c r="E2279" s="7"/>
      <c r="F2279" s="7"/>
      <c r="G2279" s="2" t="str">
        <f t="array" ref="G2279">IF(ISBLANK(D2279), "", INDEX(Categories!$B:$B,MATCH(D2279,Categories!$A:$A,0)))</f>
        <v>Clothing &amp; Accessories</v>
      </c>
      <c r="H2279" s="7" t="str">
        <f t="array" ref="H2279">IF(ISBLANK(E2279), "", INDEX(Categories!$B:$B,MATCH(E2279,Categories!$A:$A,0)))</f>
        <v/>
      </c>
      <c r="I2279" s="7" t="str">
        <f t="array" ref="I2279">IF(ISBLANK(F2279), "", INDEX(Categories!$B:$B,MATCH(F2279,Categories!$A:$A,0)))</f>
        <v/>
      </c>
      <c r="J2279" s="4"/>
      <c r="K2279" s="4"/>
      <c r="L2279" s="4"/>
      <c r="M2279" s="4"/>
      <c r="N2279" s="4"/>
      <c r="O2279" s="4"/>
      <c r="P2279" s="4"/>
      <c r="Q2279" s="4"/>
    </row>
    <row r="2280">
      <c r="A2280" s="5">
        <v>2279.0</v>
      </c>
      <c r="B2280" s="5" t="s">
        <v>2788</v>
      </c>
      <c r="C2280" s="5" t="s">
        <v>274</v>
      </c>
      <c r="D2280" s="6">
        <f>IFERROR(__xludf.DUMMYFUNCTION("SPLIT(MID(C2280,2,LEN(C2280)-2), "","")"),619.0)</f>
        <v>619</v>
      </c>
      <c r="E2280" s="7"/>
      <c r="F2280" s="7"/>
      <c r="G2280" s="2" t="str">
        <f t="array" ref="G2280">IF(ISBLANK(D2280), "", INDEX(Categories!$B:$B,MATCH(D2280,Categories!$A:$A,0)))</f>
        <v>Jewelry</v>
      </c>
      <c r="H2280" s="7" t="str">
        <f t="array" ref="H2280">IF(ISBLANK(E2280), "", INDEX(Categories!$B:$B,MATCH(E2280,Categories!$A:$A,0)))</f>
        <v/>
      </c>
      <c r="I2280" s="7" t="str">
        <f t="array" ref="I2280">IF(ISBLANK(F2280), "", INDEX(Categories!$B:$B,MATCH(F2280,Categories!$A:$A,0)))</f>
        <v/>
      </c>
      <c r="J2280" s="4"/>
      <c r="K2280" s="4"/>
      <c r="L2280" s="4"/>
      <c r="M2280" s="4"/>
      <c r="N2280" s="4"/>
      <c r="O2280" s="4"/>
      <c r="P2280" s="4"/>
      <c r="Q2280" s="4"/>
    </row>
    <row r="2281">
      <c r="A2281" s="5">
        <v>2280.0</v>
      </c>
      <c r="B2281" s="5" t="s">
        <v>2789</v>
      </c>
      <c r="C2281" s="5" t="s">
        <v>463</v>
      </c>
      <c r="D2281" s="6">
        <f>IFERROR(__xludf.DUMMYFUNCTION("SPLIT(MID(C2281,2,LEN(C2281)-2), "","")"),2604.0)</f>
        <v>2604</v>
      </c>
      <c r="E2281" s="7"/>
      <c r="F2281" s="7"/>
      <c r="G2281" s="2" t="str">
        <f t="array" ref="G2281">IF(ISBLANK(D2281), "", INDEX(Categories!$B:$B,MATCH(D2281,Categories!$A:$A,0)))</f>
        <v>Health Clubs</v>
      </c>
      <c r="H2281" s="7" t="str">
        <f t="array" ref="H2281">IF(ISBLANK(E2281), "", INDEX(Categories!$B:$B,MATCH(E2281,Categories!$A:$A,0)))</f>
        <v/>
      </c>
      <c r="I2281" s="7" t="str">
        <f t="array" ref="I2281">IF(ISBLANK(F2281), "", INDEX(Categories!$B:$B,MATCH(F2281,Categories!$A:$A,0)))</f>
        <v/>
      </c>
      <c r="J2281" s="4"/>
      <c r="K2281" s="4"/>
      <c r="L2281" s="4"/>
      <c r="M2281" s="4"/>
      <c r="N2281" s="4"/>
      <c r="O2281" s="4"/>
      <c r="P2281" s="4"/>
      <c r="Q2281" s="4"/>
    </row>
    <row r="2282">
      <c r="A2282" s="5">
        <v>2281.0</v>
      </c>
      <c r="B2282" s="5" t="s">
        <v>2790</v>
      </c>
      <c r="C2282" s="5" t="s">
        <v>121</v>
      </c>
      <c r="D2282" s="6">
        <f>IFERROR(__xludf.DUMMYFUNCTION("SPLIT(MID(C2282,2,LEN(C2282)-2), "","")"),1261.0)</f>
        <v>1261</v>
      </c>
      <c r="E2282" s="7"/>
      <c r="F2282" s="7"/>
      <c r="G2282" s="2" t="str">
        <f t="array" ref="G2282">IF(ISBLANK(D2282), "", INDEX(Categories!$B:$B,MATCH(D2282,Categories!$A:$A,0)))</f>
        <v>Mens Clothing &amp; Furnishings</v>
      </c>
      <c r="H2282" s="7" t="str">
        <f t="array" ref="H2282">IF(ISBLANK(E2282), "", INDEX(Categories!$B:$B,MATCH(E2282,Categories!$A:$A,0)))</f>
        <v/>
      </c>
      <c r="I2282" s="7" t="str">
        <f t="array" ref="I2282">IF(ISBLANK(F2282), "", INDEX(Categories!$B:$B,MATCH(F2282,Categories!$A:$A,0)))</f>
        <v/>
      </c>
      <c r="J2282" s="4"/>
      <c r="K2282" s="4"/>
      <c r="L2282" s="4"/>
      <c r="M2282" s="4"/>
      <c r="N2282" s="4"/>
      <c r="O2282" s="4"/>
      <c r="P2282" s="4"/>
      <c r="Q2282" s="4"/>
    </row>
    <row r="2283">
      <c r="A2283" s="5">
        <v>2282.0</v>
      </c>
      <c r="B2283" s="5" t="s">
        <v>2791</v>
      </c>
      <c r="C2283" s="5" t="s">
        <v>2457</v>
      </c>
      <c r="D2283" s="6">
        <f>IFERROR(__xludf.DUMMYFUNCTION("SPLIT(MID(C2283,2,LEN(C2283)-2), "","")"),765.0)</f>
        <v>765</v>
      </c>
      <c r="E2283" s="7"/>
      <c r="F2283" s="7"/>
      <c r="G2283" s="2" t="str">
        <f t="array" ref="G2283">IF(ISBLANK(D2283), "", INDEX(Categories!$B:$B,MATCH(D2283,Categories!$A:$A,0)))</f>
        <v>Outlet Stores</v>
      </c>
      <c r="H2283" s="7" t="str">
        <f t="array" ref="H2283">IF(ISBLANK(E2283), "", INDEX(Categories!$B:$B,MATCH(E2283,Categories!$A:$A,0)))</f>
        <v/>
      </c>
      <c r="I2283" s="7" t="str">
        <f t="array" ref="I2283">IF(ISBLANK(F2283), "", INDEX(Categories!$B:$B,MATCH(F2283,Categories!$A:$A,0)))</f>
        <v/>
      </c>
      <c r="J2283" s="4"/>
      <c r="K2283" s="4"/>
      <c r="L2283" s="4"/>
      <c r="M2283" s="4"/>
      <c r="N2283" s="4"/>
      <c r="O2283" s="4"/>
      <c r="P2283" s="4"/>
      <c r="Q2283" s="4"/>
    </row>
    <row r="2284">
      <c r="A2284" s="5">
        <v>2283.0</v>
      </c>
      <c r="B2284" s="5" t="s">
        <v>2792</v>
      </c>
      <c r="C2284" s="5" t="s">
        <v>371</v>
      </c>
      <c r="D2284" s="6">
        <f>IFERROR(__xludf.DUMMYFUNCTION("SPLIT(MID(C2284,2,LEN(C2284)-2), "","")"),37.0)</f>
        <v>37</v>
      </c>
      <c r="E2284" s="7"/>
      <c r="F2284" s="7"/>
      <c r="G2284" s="2" t="str">
        <f t="array" ref="G2284">IF(ISBLANK(D2284), "", INDEX(Categories!$B:$B,MATCH(D2284,Categories!$A:$A,0)))</f>
        <v>Home Furnishings</v>
      </c>
      <c r="H2284" s="7" t="str">
        <f t="array" ref="H2284">IF(ISBLANK(E2284), "", INDEX(Categories!$B:$B,MATCH(E2284,Categories!$A:$A,0)))</f>
        <v/>
      </c>
      <c r="I2284" s="7" t="str">
        <f t="array" ref="I2284">IF(ISBLANK(F2284), "", INDEX(Categories!$B:$B,MATCH(F2284,Categories!$A:$A,0)))</f>
        <v/>
      </c>
      <c r="J2284" s="4"/>
      <c r="K2284" s="4"/>
      <c r="L2284" s="4"/>
      <c r="M2284" s="4"/>
      <c r="N2284" s="4"/>
      <c r="O2284" s="4"/>
      <c r="P2284" s="4"/>
      <c r="Q2284" s="4"/>
    </row>
    <row r="2285">
      <c r="A2285" s="5">
        <v>2284.0</v>
      </c>
      <c r="B2285" s="5" t="s">
        <v>2793</v>
      </c>
      <c r="C2285" s="5" t="s">
        <v>303</v>
      </c>
      <c r="D2285" s="6">
        <f>IFERROR(__xludf.DUMMYFUNCTION("SPLIT(MID(C2285,2,LEN(C2285)-2), "","")"),1241.0)</f>
        <v>1241</v>
      </c>
      <c r="E2285" s="7"/>
      <c r="F2285" s="7"/>
      <c r="G2285" s="2" t="str">
        <f t="array" ref="G2285">IF(ISBLANK(D2285), "", INDEX(Categories!$B:$B,MATCH(D2285,Categories!$A:$A,0)))</f>
        <v>Clothing &amp; Accessories</v>
      </c>
      <c r="H2285" s="7" t="str">
        <f t="array" ref="H2285">IF(ISBLANK(E2285), "", INDEX(Categories!$B:$B,MATCH(E2285,Categories!$A:$A,0)))</f>
        <v/>
      </c>
      <c r="I2285" s="7" t="str">
        <f t="array" ref="I2285">IF(ISBLANK(F2285), "", INDEX(Categories!$B:$B,MATCH(F2285,Categories!$A:$A,0)))</f>
        <v/>
      </c>
      <c r="J2285" s="4"/>
      <c r="K2285" s="4"/>
      <c r="L2285" s="4"/>
      <c r="M2285" s="4"/>
      <c r="N2285" s="4"/>
      <c r="O2285" s="4"/>
      <c r="P2285" s="4"/>
      <c r="Q2285" s="4"/>
    </row>
    <row r="2286">
      <c r="A2286" s="5">
        <v>2285.0</v>
      </c>
      <c r="B2286" s="5" t="s">
        <v>2794</v>
      </c>
      <c r="C2286" s="5" t="s">
        <v>303</v>
      </c>
      <c r="D2286" s="6">
        <f>IFERROR(__xludf.DUMMYFUNCTION("SPLIT(MID(C2286,2,LEN(C2286)-2), "","")"),1241.0)</f>
        <v>1241</v>
      </c>
      <c r="E2286" s="7"/>
      <c r="F2286" s="7"/>
      <c r="G2286" s="2" t="str">
        <f t="array" ref="G2286">IF(ISBLANK(D2286), "", INDEX(Categories!$B:$B,MATCH(D2286,Categories!$A:$A,0)))</f>
        <v>Clothing &amp; Accessories</v>
      </c>
      <c r="H2286" s="7" t="str">
        <f t="array" ref="H2286">IF(ISBLANK(E2286), "", INDEX(Categories!$B:$B,MATCH(E2286,Categories!$A:$A,0)))</f>
        <v/>
      </c>
      <c r="I2286" s="7" t="str">
        <f t="array" ref="I2286">IF(ISBLANK(F2286), "", INDEX(Categories!$B:$B,MATCH(F2286,Categories!$A:$A,0)))</f>
        <v/>
      </c>
      <c r="J2286" s="4"/>
      <c r="K2286" s="4"/>
      <c r="L2286" s="4"/>
      <c r="M2286" s="4"/>
      <c r="N2286" s="4"/>
      <c r="O2286" s="4"/>
      <c r="P2286" s="4"/>
      <c r="Q2286" s="4"/>
    </row>
    <row r="2287">
      <c r="A2287" s="5">
        <v>2286.0</v>
      </c>
      <c r="B2287" s="5" t="s">
        <v>2795</v>
      </c>
      <c r="C2287" s="5" t="s">
        <v>109</v>
      </c>
      <c r="D2287" s="6">
        <f>IFERROR(__xludf.DUMMYFUNCTION("SPLIT(MID(C2287,2,LEN(C2287)-2), "","")"),741.0)</f>
        <v>741</v>
      </c>
      <c r="E2287" s="7"/>
      <c r="F2287" s="7"/>
      <c r="G2287" s="2" t="str">
        <f t="array" ref="G2287">IF(ISBLANK(D2287), "", INDEX(Categories!$B:$B,MATCH(D2287,Categories!$A:$A,0)))</f>
        <v>Shoes</v>
      </c>
      <c r="H2287" s="7" t="str">
        <f t="array" ref="H2287">IF(ISBLANK(E2287), "", INDEX(Categories!$B:$B,MATCH(E2287,Categories!$A:$A,0)))</f>
        <v/>
      </c>
      <c r="I2287" s="7" t="str">
        <f t="array" ref="I2287">IF(ISBLANK(F2287), "", INDEX(Categories!$B:$B,MATCH(F2287,Categories!$A:$A,0)))</f>
        <v/>
      </c>
      <c r="J2287" s="4"/>
      <c r="K2287" s="4"/>
      <c r="L2287" s="4"/>
      <c r="M2287" s="4"/>
      <c r="N2287" s="4"/>
      <c r="O2287" s="4"/>
      <c r="P2287" s="4"/>
      <c r="Q2287" s="4"/>
    </row>
    <row r="2288">
      <c r="A2288" s="5">
        <v>2287.0</v>
      </c>
      <c r="B2288" s="5" t="s">
        <v>2796</v>
      </c>
      <c r="C2288" s="5" t="s">
        <v>1286</v>
      </c>
      <c r="D2288" s="6">
        <f>IFERROR(__xludf.DUMMYFUNCTION("SPLIT(MID(C2288,2,LEN(C2288)-2), "","")"),1100.0)</f>
        <v>1100</v>
      </c>
      <c r="E2288" s="7"/>
      <c r="F2288" s="7"/>
      <c r="G2288" s="2" t="str">
        <f t="array" ref="G2288">IF(ISBLANK(D2288), "", INDEX(Categories!$B:$B,MATCH(D2288,Categories!$A:$A,0)))</f>
        <v>Bars Grills &amp; Pubs</v>
      </c>
      <c r="H2288" s="7" t="str">
        <f t="array" ref="H2288">IF(ISBLANK(E2288), "", INDEX(Categories!$B:$B,MATCH(E2288,Categories!$A:$A,0)))</f>
        <v/>
      </c>
      <c r="I2288" s="7" t="str">
        <f t="array" ref="I2288">IF(ISBLANK(F2288), "", INDEX(Categories!$B:$B,MATCH(F2288,Categories!$A:$A,0)))</f>
        <v/>
      </c>
      <c r="J2288" s="4"/>
      <c r="K2288" s="4"/>
      <c r="L2288" s="4"/>
      <c r="M2288" s="4"/>
      <c r="N2288" s="4"/>
      <c r="O2288" s="4"/>
      <c r="P2288" s="4"/>
      <c r="Q2288" s="4"/>
    </row>
    <row r="2289">
      <c r="A2289" s="5">
        <v>2288.0</v>
      </c>
      <c r="B2289" s="5" t="s">
        <v>2797</v>
      </c>
      <c r="C2289" s="5" t="s">
        <v>139</v>
      </c>
      <c r="D2289" s="6">
        <f>IFERROR(__xludf.DUMMYFUNCTION("SPLIT(MID(C2289,2,LEN(C2289)-2), "","")"),1617.0)</f>
        <v>1617</v>
      </c>
      <c r="E2289" s="7"/>
      <c r="F2289" s="7"/>
      <c r="G2289" s="2" t="str">
        <f t="array" ref="G2289">IF(ISBLANK(D2289), "", INDEX(Categories!$B:$B,MATCH(D2289,Categories!$A:$A,0)))</f>
        <v>Department Stores</v>
      </c>
      <c r="H2289" s="7" t="str">
        <f t="array" ref="H2289">IF(ISBLANK(E2289), "", INDEX(Categories!$B:$B,MATCH(E2289,Categories!$A:$A,0)))</f>
        <v/>
      </c>
      <c r="I2289" s="7" t="str">
        <f t="array" ref="I2289">IF(ISBLANK(F2289), "", INDEX(Categories!$B:$B,MATCH(F2289,Categories!$A:$A,0)))</f>
        <v/>
      </c>
      <c r="J2289" s="4"/>
      <c r="K2289" s="4"/>
      <c r="L2289" s="4"/>
      <c r="M2289" s="4"/>
      <c r="N2289" s="4"/>
      <c r="O2289" s="4"/>
      <c r="P2289" s="4"/>
      <c r="Q2289" s="4"/>
    </row>
    <row r="2290">
      <c r="A2290" s="5">
        <v>2289.0</v>
      </c>
      <c r="B2290" s="5" t="s">
        <v>2798</v>
      </c>
      <c r="C2290" s="5" t="s">
        <v>96</v>
      </c>
      <c r="D2290" s="6">
        <f>IFERROR(__xludf.DUMMYFUNCTION("SPLIT(MID(C2290,2,LEN(C2290)-2), "","")"),572.0)</f>
        <v>572</v>
      </c>
      <c r="E2290" s="7"/>
      <c r="F2290" s="7"/>
      <c r="G2290" s="2" t="str">
        <f t="array" ref="G2290">IF(ISBLANK(D2290), "", INDEX(Categories!$B:$B,MATCH(D2290,Categories!$A:$A,0)))</f>
        <v>Groceries</v>
      </c>
      <c r="H2290" s="7" t="str">
        <f t="array" ref="H2290">IF(ISBLANK(E2290), "", INDEX(Categories!$B:$B,MATCH(E2290,Categories!$A:$A,0)))</f>
        <v/>
      </c>
      <c r="I2290" s="7" t="str">
        <f t="array" ref="I2290">IF(ISBLANK(F2290), "", INDEX(Categories!$B:$B,MATCH(F2290,Categories!$A:$A,0)))</f>
        <v/>
      </c>
      <c r="J2290" s="4"/>
      <c r="K2290" s="4"/>
      <c r="L2290" s="4"/>
      <c r="M2290" s="4"/>
      <c r="N2290" s="4"/>
      <c r="O2290" s="4"/>
      <c r="P2290" s="4"/>
      <c r="Q2290" s="4"/>
    </row>
    <row r="2291">
      <c r="A2291" s="5">
        <v>2290.0</v>
      </c>
      <c r="B2291" s="5" t="s">
        <v>2799</v>
      </c>
      <c r="C2291" s="5" t="s">
        <v>69</v>
      </c>
      <c r="D2291" s="6">
        <f>IFERROR(__xludf.DUMMYFUNCTION("SPLIT(MID(C2291,2,LEN(C2291)-2), "","")"),293.0)</f>
        <v>293</v>
      </c>
      <c r="E2291" s="7"/>
      <c r="F2291" s="7"/>
      <c r="G2291" s="2" t="str">
        <f t="array" ref="G2291">IF(ISBLANK(D2291), "", INDEX(Categories!$B:$B,MATCH(D2291,Categories!$A:$A,0)))</f>
        <v>Banks Commercial</v>
      </c>
      <c r="H2291" s="7" t="str">
        <f t="array" ref="H2291">IF(ISBLANK(E2291), "", INDEX(Categories!$B:$B,MATCH(E2291,Categories!$A:$A,0)))</f>
        <v/>
      </c>
      <c r="I2291" s="7" t="str">
        <f t="array" ref="I2291">IF(ISBLANK(F2291), "", INDEX(Categories!$B:$B,MATCH(F2291,Categories!$A:$A,0)))</f>
        <v/>
      </c>
      <c r="J2291" s="4"/>
      <c r="K2291" s="4"/>
      <c r="L2291" s="4"/>
      <c r="M2291" s="4"/>
      <c r="N2291" s="4"/>
      <c r="O2291" s="4"/>
      <c r="P2291" s="4"/>
      <c r="Q2291" s="4"/>
    </row>
    <row r="2292">
      <c r="A2292" s="5">
        <v>2291.0</v>
      </c>
      <c r="B2292" s="5" t="s">
        <v>2800</v>
      </c>
      <c r="C2292" s="5" t="s">
        <v>43</v>
      </c>
      <c r="D2292" s="6">
        <f>IFERROR(__xludf.DUMMYFUNCTION("SPLIT(MID(C2292,2,LEN(C2292)-2), "","")"),292.0)</f>
        <v>292</v>
      </c>
      <c r="E2292" s="7"/>
      <c r="F2292" s="7"/>
      <c r="G2292" s="2" t="str">
        <f t="array" ref="G2292">IF(ISBLANK(D2292), "", INDEX(Categories!$B:$B,MATCH(D2292,Categories!$A:$A,0)))</f>
        <v>Banks</v>
      </c>
      <c r="H2292" s="7" t="str">
        <f t="array" ref="H2292">IF(ISBLANK(E2292), "", INDEX(Categories!$B:$B,MATCH(E2292,Categories!$A:$A,0)))</f>
        <v/>
      </c>
      <c r="I2292" s="7" t="str">
        <f t="array" ref="I2292">IF(ISBLANK(F2292), "", INDEX(Categories!$B:$B,MATCH(F2292,Categories!$A:$A,0)))</f>
        <v/>
      </c>
      <c r="J2292" s="4"/>
      <c r="K2292" s="4"/>
      <c r="L2292" s="4"/>
      <c r="M2292" s="4"/>
      <c r="N2292" s="4"/>
      <c r="O2292" s="4"/>
      <c r="P2292" s="4"/>
      <c r="Q2292" s="4"/>
    </row>
    <row r="2293">
      <c r="A2293" s="5">
        <v>2292.0</v>
      </c>
      <c r="B2293" s="5" t="s">
        <v>2801</v>
      </c>
      <c r="C2293" s="5" t="s">
        <v>69</v>
      </c>
      <c r="D2293" s="6">
        <f>IFERROR(__xludf.DUMMYFUNCTION("SPLIT(MID(C2293,2,LEN(C2293)-2), "","")"),293.0)</f>
        <v>293</v>
      </c>
      <c r="E2293" s="7"/>
      <c r="F2293" s="7"/>
      <c r="G2293" s="2" t="str">
        <f t="array" ref="G2293">IF(ISBLANK(D2293), "", INDEX(Categories!$B:$B,MATCH(D2293,Categories!$A:$A,0)))</f>
        <v>Banks Commercial</v>
      </c>
      <c r="H2293" s="7" t="str">
        <f t="array" ref="H2293">IF(ISBLANK(E2293), "", INDEX(Categories!$B:$B,MATCH(E2293,Categories!$A:$A,0)))</f>
        <v/>
      </c>
      <c r="I2293" s="7" t="str">
        <f t="array" ref="I2293">IF(ISBLANK(F2293), "", INDEX(Categories!$B:$B,MATCH(F2293,Categories!$A:$A,0)))</f>
        <v/>
      </c>
      <c r="J2293" s="4"/>
      <c r="K2293" s="4"/>
      <c r="L2293" s="4"/>
      <c r="M2293" s="4"/>
      <c r="N2293" s="4"/>
      <c r="O2293" s="4"/>
      <c r="P2293" s="4"/>
      <c r="Q2293" s="4"/>
    </row>
    <row r="2294">
      <c r="A2294" s="5">
        <v>2293.0</v>
      </c>
      <c r="B2294" s="5" t="s">
        <v>2802</v>
      </c>
      <c r="C2294" s="5" t="s">
        <v>2371</v>
      </c>
      <c r="D2294" s="6">
        <f>IFERROR(__xludf.DUMMYFUNCTION("SPLIT(MID(C2294,2,LEN(C2294)-2), "","")"),296.0)</f>
        <v>296</v>
      </c>
      <c r="E2294" s="7"/>
      <c r="F2294" s="7"/>
      <c r="G2294" s="2" t="str">
        <f t="array" ref="G2294">IF(ISBLANK(D2294), "", INDEX(Categories!$B:$B,MATCH(D2294,Categories!$A:$A,0)))</f>
        <v>Credit Unions</v>
      </c>
      <c r="H2294" s="7" t="str">
        <f t="array" ref="H2294">IF(ISBLANK(E2294), "", INDEX(Categories!$B:$B,MATCH(E2294,Categories!$A:$A,0)))</f>
        <v/>
      </c>
      <c r="I2294" s="7" t="str">
        <f t="array" ref="I2294">IF(ISBLANK(F2294), "", INDEX(Categories!$B:$B,MATCH(F2294,Categories!$A:$A,0)))</f>
        <v/>
      </c>
      <c r="J2294" s="4"/>
      <c r="K2294" s="4"/>
      <c r="L2294" s="4"/>
      <c r="M2294" s="4"/>
      <c r="N2294" s="4"/>
      <c r="O2294" s="4"/>
      <c r="P2294" s="4"/>
      <c r="Q2294" s="4"/>
    </row>
    <row r="2295">
      <c r="A2295" s="5">
        <v>2294.0</v>
      </c>
      <c r="B2295" s="5" t="s">
        <v>2803</v>
      </c>
      <c r="C2295" s="5" t="s">
        <v>2371</v>
      </c>
      <c r="D2295" s="6">
        <f>IFERROR(__xludf.DUMMYFUNCTION("SPLIT(MID(C2295,2,LEN(C2295)-2), "","")"),296.0)</f>
        <v>296</v>
      </c>
      <c r="E2295" s="7"/>
      <c r="F2295" s="7"/>
      <c r="G2295" s="2" t="str">
        <f t="array" ref="G2295">IF(ISBLANK(D2295), "", INDEX(Categories!$B:$B,MATCH(D2295,Categories!$A:$A,0)))</f>
        <v>Credit Unions</v>
      </c>
      <c r="H2295" s="7" t="str">
        <f t="array" ref="H2295">IF(ISBLANK(E2295), "", INDEX(Categories!$B:$B,MATCH(E2295,Categories!$A:$A,0)))</f>
        <v/>
      </c>
      <c r="I2295" s="7" t="str">
        <f t="array" ref="I2295">IF(ISBLANK(F2295), "", INDEX(Categories!$B:$B,MATCH(F2295,Categories!$A:$A,0)))</f>
        <v/>
      </c>
      <c r="J2295" s="4"/>
      <c r="K2295" s="4"/>
      <c r="L2295" s="4"/>
      <c r="M2295" s="4"/>
      <c r="N2295" s="4"/>
      <c r="O2295" s="4"/>
      <c r="P2295" s="4"/>
      <c r="Q2295" s="4"/>
    </row>
    <row r="2296">
      <c r="A2296" s="5">
        <v>2295.0</v>
      </c>
      <c r="B2296" s="5" t="s">
        <v>2804</v>
      </c>
      <c r="C2296" s="5" t="s">
        <v>69</v>
      </c>
      <c r="D2296" s="6">
        <f>IFERROR(__xludf.DUMMYFUNCTION("SPLIT(MID(C2296,2,LEN(C2296)-2), "","")"),293.0)</f>
        <v>293</v>
      </c>
      <c r="E2296" s="7"/>
      <c r="F2296" s="7"/>
      <c r="G2296" s="2" t="str">
        <f t="array" ref="G2296">IF(ISBLANK(D2296), "", INDEX(Categories!$B:$B,MATCH(D2296,Categories!$A:$A,0)))</f>
        <v>Banks Commercial</v>
      </c>
      <c r="H2296" s="7" t="str">
        <f t="array" ref="H2296">IF(ISBLANK(E2296), "", INDEX(Categories!$B:$B,MATCH(E2296,Categories!$A:$A,0)))</f>
        <v/>
      </c>
      <c r="I2296" s="7" t="str">
        <f t="array" ref="I2296">IF(ISBLANK(F2296), "", INDEX(Categories!$B:$B,MATCH(F2296,Categories!$A:$A,0)))</f>
        <v/>
      </c>
      <c r="J2296" s="4"/>
      <c r="K2296" s="4"/>
      <c r="L2296" s="4"/>
      <c r="M2296" s="4"/>
      <c r="N2296" s="4"/>
      <c r="O2296" s="4"/>
      <c r="P2296" s="4"/>
      <c r="Q2296" s="4"/>
    </row>
    <row r="2297">
      <c r="A2297" s="5">
        <v>2296.0</v>
      </c>
      <c r="B2297" s="5" t="s">
        <v>2805</v>
      </c>
      <c r="C2297" s="5" t="s">
        <v>43</v>
      </c>
      <c r="D2297" s="6">
        <f>IFERROR(__xludf.DUMMYFUNCTION("SPLIT(MID(C2297,2,LEN(C2297)-2), "","")"),292.0)</f>
        <v>292</v>
      </c>
      <c r="E2297" s="7"/>
      <c r="F2297" s="7"/>
      <c r="G2297" s="2" t="str">
        <f t="array" ref="G2297">IF(ISBLANK(D2297), "", INDEX(Categories!$B:$B,MATCH(D2297,Categories!$A:$A,0)))</f>
        <v>Banks</v>
      </c>
      <c r="H2297" s="7" t="str">
        <f t="array" ref="H2297">IF(ISBLANK(E2297), "", INDEX(Categories!$B:$B,MATCH(E2297,Categories!$A:$A,0)))</f>
        <v/>
      </c>
      <c r="I2297" s="7" t="str">
        <f t="array" ref="I2297">IF(ISBLANK(F2297), "", INDEX(Categories!$B:$B,MATCH(F2297,Categories!$A:$A,0)))</f>
        <v/>
      </c>
      <c r="J2297" s="4"/>
      <c r="K2297" s="4"/>
      <c r="L2297" s="4"/>
      <c r="M2297" s="4"/>
      <c r="N2297" s="4"/>
      <c r="O2297" s="4"/>
      <c r="P2297" s="4"/>
      <c r="Q2297" s="4"/>
    </row>
    <row r="2298">
      <c r="A2298" s="5">
        <v>2297.0</v>
      </c>
      <c r="B2298" s="5" t="s">
        <v>2806</v>
      </c>
      <c r="C2298" s="5" t="s">
        <v>69</v>
      </c>
      <c r="D2298" s="6">
        <f>IFERROR(__xludf.DUMMYFUNCTION("SPLIT(MID(C2298,2,LEN(C2298)-2), "","")"),293.0)</f>
        <v>293</v>
      </c>
      <c r="E2298" s="7"/>
      <c r="F2298" s="7"/>
      <c r="G2298" s="2" t="str">
        <f t="array" ref="G2298">IF(ISBLANK(D2298), "", INDEX(Categories!$B:$B,MATCH(D2298,Categories!$A:$A,0)))</f>
        <v>Banks Commercial</v>
      </c>
      <c r="H2298" s="7" t="str">
        <f t="array" ref="H2298">IF(ISBLANK(E2298), "", INDEX(Categories!$B:$B,MATCH(E2298,Categories!$A:$A,0)))</f>
        <v/>
      </c>
      <c r="I2298" s="7" t="str">
        <f t="array" ref="I2298">IF(ISBLANK(F2298), "", INDEX(Categories!$B:$B,MATCH(F2298,Categories!$A:$A,0)))</f>
        <v/>
      </c>
      <c r="J2298" s="4"/>
      <c r="K2298" s="4"/>
      <c r="L2298" s="4"/>
      <c r="M2298" s="4"/>
      <c r="N2298" s="4"/>
      <c r="O2298" s="4"/>
      <c r="P2298" s="4"/>
      <c r="Q2298" s="4"/>
    </row>
    <row r="2299">
      <c r="A2299" s="5">
        <v>2298.0</v>
      </c>
      <c r="B2299" s="5" t="s">
        <v>2807</v>
      </c>
      <c r="C2299" s="5" t="s">
        <v>69</v>
      </c>
      <c r="D2299" s="6">
        <f>IFERROR(__xludf.DUMMYFUNCTION("SPLIT(MID(C2299,2,LEN(C2299)-2), "","")"),293.0)</f>
        <v>293</v>
      </c>
      <c r="E2299" s="7"/>
      <c r="F2299" s="7"/>
      <c r="G2299" s="2" t="str">
        <f t="array" ref="G2299">IF(ISBLANK(D2299), "", INDEX(Categories!$B:$B,MATCH(D2299,Categories!$A:$A,0)))</f>
        <v>Banks Commercial</v>
      </c>
      <c r="H2299" s="7" t="str">
        <f t="array" ref="H2299">IF(ISBLANK(E2299), "", INDEX(Categories!$B:$B,MATCH(E2299,Categories!$A:$A,0)))</f>
        <v/>
      </c>
      <c r="I2299" s="7" t="str">
        <f t="array" ref="I2299">IF(ISBLANK(F2299), "", INDEX(Categories!$B:$B,MATCH(F2299,Categories!$A:$A,0)))</f>
        <v/>
      </c>
      <c r="J2299" s="4"/>
      <c r="K2299" s="4"/>
      <c r="L2299" s="4"/>
      <c r="M2299" s="4"/>
      <c r="N2299" s="4"/>
      <c r="O2299" s="4"/>
      <c r="P2299" s="4"/>
      <c r="Q2299" s="4"/>
    </row>
    <row r="2300">
      <c r="A2300" s="5">
        <v>2299.0</v>
      </c>
      <c r="B2300" s="5" t="s">
        <v>2808</v>
      </c>
      <c r="C2300" s="5" t="s">
        <v>43</v>
      </c>
      <c r="D2300" s="6">
        <f>IFERROR(__xludf.DUMMYFUNCTION("SPLIT(MID(C2300,2,LEN(C2300)-2), "","")"),292.0)</f>
        <v>292</v>
      </c>
      <c r="E2300" s="7"/>
      <c r="F2300" s="7"/>
      <c r="G2300" s="2" t="str">
        <f t="array" ref="G2300">IF(ISBLANK(D2300), "", INDEX(Categories!$B:$B,MATCH(D2300,Categories!$A:$A,0)))</f>
        <v>Banks</v>
      </c>
      <c r="H2300" s="7" t="str">
        <f t="array" ref="H2300">IF(ISBLANK(E2300), "", INDEX(Categories!$B:$B,MATCH(E2300,Categories!$A:$A,0)))</f>
        <v/>
      </c>
      <c r="I2300" s="7" t="str">
        <f t="array" ref="I2300">IF(ISBLANK(F2300), "", INDEX(Categories!$B:$B,MATCH(F2300,Categories!$A:$A,0)))</f>
        <v/>
      </c>
      <c r="J2300" s="4"/>
      <c r="K2300" s="4"/>
      <c r="L2300" s="4"/>
      <c r="M2300" s="4"/>
      <c r="N2300" s="4"/>
      <c r="O2300" s="4"/>
      <c r="P2300" s="4"/>
      <c r="Q2300" s="4"/>
    </row>
    <row r="2301">
      <c r="A2301" s="5">
        <v>2300.0</v>
      </c>
      <c r="B2301" s="5" t="s">
        <v>2809</v>
      </c>
      <c r="C2301" s="5" t="s">
        <v>69</v>
      </c>
      <c r="D2301" s="6">
        <f>IFERROR(__xludf.DUMMYFUNCTION("SPLIT(MID(C2301,2,LEN(C2301)-2), "","")"),293.0)</f>
        <v>293</v>
      </c>
      <c r="E2301" s="7"/>
      <c r="F2301" s="7"/>
      <c r="G2301" s="2" t="str">
        <f t="array" ref="G2301">IF(ISBLANK(D2301), "", INDEX(Categories!$B:$B,MATCH(D2301,Categories!$A:$A,0)))</f>
        <v>Banks Commercial</v>
      </c>
      <c r="H2301" s="7" t="str">
        <f t="array" ref="H2301">IF(ISBLANK(E2301), "", INDEX(Categories!$B:$B,MATCH(E2301,Categories!$A:$A,0)))</f>
        <v/>
      </c>
      <c r="I2301" s="7" t="str">
        <f t="array" ref="I2301">IF(ISBLANK(F2301), "", INDEX(Categories!$B:$B,MATCH(F2301,Categories!$A:$A,0)))</f>
        <v/>
      </c>
      <c r="J2301" s="4"/>
      <c r="K2301" s="4"/>
      <c r="L2301" s="4"/>
      <c r="M2301" s="4"/>
      <c r="N2301" s="4"/>
      <c r="O2301" s="4"/>
      <c r="P2301" s="4"/>
      <c r="Q2301" s="4"/>
    </row>
    <row r="2302">
      <c r="A2302" s="5">
        <v>2301.0</v>
      </c>
      <c r="B2302" s="5" t="s">
        <v>2810</v>
      </c>
      <c r="C2302" s="5" t="s">
        <v>69</v>
      </c>
      <c r="D2302" s="6">
        <f>IFERROR(__xludf.DUMMYFUNCTION("SPLIT(MID(C2302,2,LEN(C2302)-2), "","")"),293.0)</f>
        <v>293</v>
      </c>
      <c r="E2302" s="7"/>
      <c r="F2302" s="7"/>
      <c r="G2302" s="2" t="str">
        <f t="array" ref="G2302">IF(ISBLANK(D2302), "", INDEX(Categories!$B:$B,MATCH(D2302,Categories!$A:$A,0)))</f>
        <v>Banks Commercial</v>
      </c>
      <c r="H2302" s="7" t="str">
        <f t="array" ref="H2302">IF(ISBLANK(E2302), "", INDEX(Categories!$B:$B,MATCH(E2302,Categories!$A:$A,0)))</f>
        <v/>
      </c>
      <c r="I2302" s="7" t="str">
        <f t="array" ref="I2302">IF(ISBLANK(F2302), "", INDEX(Categories!$B:$B,MATCH(F2302,Categories!$A:$A,0)))</f>
        <v/>
      </c>
      <c r="J2302" s="4"/>
      <c r="K2302" s="4"/>
      <c r="L2302" s="4"/>
      <c r="M2302" s="4"/>
      <c r="N2302" s="4"/>
      <c r="O2302" s="4"/>
      <c r="P2302" s="4"/>
      <c r="Q2302" s="4"/>
    </row>
    <row r="2303">
      <c r="A2303" s="5">
        <v>2302.0</v>
      </c>
      <c r="B2303" s="5" t="s">
        <v>2811</v>
      </c>
      <c r="C2303" s="5" t="s">
        <v>69</v>
      </c>
      <c r="D2303" s="6">
        <f>IFERROR(__xludf.DUMMYFUNCTION("SPLIT(MID(C2303,2,LEN(C2303)-2), "","")"),293.0)</f>
        <v>293</v>
      </c>
      <c r="E2303" s="7"/>
      <c r="F2303" s="7"/>
      <c r="G2303" s="2" t="str">
        <f t="array" ref="G2303">IF(ISBLANK(D2303), "", INDEX(Categories!$B:$B,MATCH(D2303,Categories!$A:$A,0)))</f>
        <v>Banks Commercial</v>
      </c>
      <c r="H2303" s="7" t="str">
        <f t="array" ref="H2303">IF(ISBLANK(E2303), "", INDEX(Categories!$B:$B,MATCH(E2303,Categories!$A:$A,0)))</f>
        <v/>
      </c>
      <c r="I2303" s="7" t="str">
        <f t="array" ref="I2303">IF(ISBLANK(F2303), "", INDEX(Categories!$B:$B,MATCH(F2303,Categories!$A:$A,0)))</f>
        <v/>
      </c>
      <c r="J2303" s="4"/>
      <c r="K2303" s="4"/>
      <c r="L2303" s="4"/>
      <c r="M2303" s="4"/>
      <c r="N2303" s="4"/>
      <c r="O2303" s="4"/>
      <c r="P2303" s="4"/>
      <c r="Q2303" s="4"/>
    </row>
    <row r="2304">
      <c r="A2304" s="5">
        <v>2303.0</v>
      </c>
      <c r="B2304" s="5" t="s">
        <v>2812</v>
      </c>
      <c r="C2304" s="5" t="s">
        <v>205</v>
      </c>
      <c r="D2304" s="6">
        <f>IFERROR(__xludf.DUMMYFUNCTION("SPLIT(MID(C2304,2,LEN(C2304)-2), "","")"),1384.0)</f>
        <v>1384</v>
      </c>
      <c r="E2304" s="7"/>
      <c r="F2304" s="7"/>
      <c r="G2304" s="2" t="str">
        <f t="array" ref="G2304">IF(ISBLANK(D2304), "", INDEX(Categories!$B:$B,MATCH(D2304,Categories!$A:$A,0)))</f>
        <v>Storage Self Service</v>
      </c>
      <c r="H2304" s="7" t="str">
        <f t="array" ref="H2304">IF(ISBLANK(E2304), "", INDEX(Categories!$B:$B,MATCH(E2304,Categories!$A:$A,0)))</f>
        <v/>
      </c>
      <c r="I2304" s="7" t="str">
        <f t="array" ref="I2304">IF(ISBLANK(F2304), "", INDEX(Categories!$B:$B,MATCH(F2304,Categories!$A:$A,0)))</f>
        <v/>
      </c>
      <c r="J2304" s="4"/>
      <c r="K2304" s="4"/>
      <c r="L2304" s="4"/>
      <c r="M2304" s="4"/>
      <c r="N2304" s="4"/>
      <c r="O2304" s="4"/>
      <c r="P2304" s="4"/>
      <c r="Q2304" s="4"/>
    </row>
    <row r="2305">
      <c r="A2305" s="5">
        <v>2304.0</v>
      </c>
      <c r="B2305" s="5" t="s">
        <v>2813</v>
      </c>
      <c r="C2305" s="5" t="s">
        <v>2814</v>
      </c>
      <c r="D2305" s="6">
        <f>IFERROR(__xludf.DUMMYFUNCTION("SPLIT(MID(C2305,2,LEN(C2305)-2), "","")"),219.0)</f>
        <v>219</v>
      </c>
      <c r="E2305" s="7"/>
      <c r="F2305" s="7"/>
      <c r="G2305" s="2" t="str">
        <f t="array" ref="G2305">IF(ISBLANK(D2305), "", INDEX(Categories!$B:$B,MATCH(D2305,Categories!$A:$A,0)))</f>
        <v>Savings &amp; Loans Associations</v>
      </c>
      <c r="H2305" s="7" t="str">
        <f t="array" ref="H2305">IF(ISBLANK(E2305), "", INDEX(Categories!$B:$B,MATCH(E2305,Categories!$A:$A,0)))</f>
        <v/>
      </c>
      <c r="I2305" s="7" t="str">
        <f t="array" ref="I2305">IF(ISBLANK(F2305), "", INDEX(Categories!$B:$B,MATCH(F2305,Categories!$A:$A,0)))</f>
        <v/>
      </c>
      <c r="J2305" s="4"/>
      <c r="K2305" s="4"/>
      <c r="L2305" s="4"/>
      <c r="M2305" s="4"/>
      <c r="N2305" s="4"/>
      <c r="O2305" s="4"/>
      <c r="P2305" s="4"/>
      <c r="Q2305" s="4"/>
    </row>
    <row r="2306">
      <c r="A2306" s="5">
        <v>2305.0</v>
      </c>
      <c r="B2306" s="5" t="s">
        <v>2815</v>
      </c>
      <c r="C2306" s="5" t="s">
        <v>1238</v>
      </c>
      <c r="D2306" s="6">
        <f>IFERROR(__xludf.DUMMYFUNCTION("SPLIT(MID(C2306,2,LEN(C2306)-2), "","")"),301.0)</f>
        <v>301</v>
      </c>
      <c r="E2306" s="7"/>
      <c r="F2306" s="7"/>
      <c r="G2306" s="2" t="str">
        <f t="array" ref="G2306">IF(ISBLANK(D2306), "", INDEX(Categories!$B:$B,MATCH(D2306,Categories!$A:$A,0)))</f>
        <v>Locks &amp; Locksmiths</v>
      </c>
      <c r="H2306" s="7" t="str">
        <f t="array" ref="H2306">IF(ISBLANK(E2306), "", INDEX(Categories!$B:$B,MATCH(E2306,Categories!$A:$A,0)))</f>
        <v/>
      </c>
      <c r="I2306" s="7" t="str">
        <f t="array" ref="I2306">IF(ISBLANK(F2306), "", INDEX(Categories!$B:$B,MATCH(F2306,Categories!$A:$A,0)))</f>
        <v/>
      </c>
      <c r="J2306" s="4"/>
      <c r="K2306" s="4"/>
      <c r="L2306" s="4"/>
      <c r="M2306" s="4"/>
      <c r="N2306" s="4"/>
      <c r="O2306" s="4"/>
      <c r="P2306" s="4"/>
      <c r="Q2306" s="4"/>
    </row>
    <row r="2307">
      <c r="A2307" s="5">
        <v>2306.0</v>
      </c>
      <c r="B2307" s="5" t="s">
        <v>2816</v>
      </c>
      <c r="C2307" s="5" t="s">
        <v>200</v>
      </c>
      <c r="D2307" s="6">
        <f>IFERROR(__xludf.DUMMYFUNCTION("SPLIT(MID(C2307,2,LEN(C2307)-2), "","")"),316.0)</f>
        <v>316</v>
      </c>
      <c r="E2307" s="7"/>
      <c r="F2307" s="7"/>
      <c r="G2307" s="2" t="str">
        <f t="array" ref="G2307">IF(ISBLANK(D2307), "", INDEX(Categories!$B:$B,MATCH(D2307,Categories!$A:$A,0)))</f>
        <v>Sporting Goods</v>
      </c>
      <c r="H2307" s="7" t="str">
        <f t="array" ref="H2307">IF(ISBLANK(E2307), "", INDEX(Categories!$B:$B,MATCH(E2307,Categories!$A:$A,0)))</f>
        <v/>
      </c>
      <c r="I2307" s="7" t="str">
        <f t="array" ref="I2307">IF(ISBLANK(F2307), "", INDEX(Categories!$B:$B,MATCH(F2307,Categories!$A:$A,0)))</f>
        <v/>
      </c>
      <c r="J2307" s="4"/>
      <c r="K2307" s="4"/>
      <c r="L2307" s="4"/>
      <c r="M2307" s="4"/>
      <c r="N2307" s="4"/>
      <c r="O2307" s="4"/>
      <c r="P2307" s="4"/>
      <c r="Q2307" s="4"/>
    </row>
    <row r="2308">
      <c r="A2308" s="5">
        <v>2307.0</v>
      </c>
      <c r="B2308" s="5" t="s">
        <v>2817</v>
      </c>
      <c r="C2308" s="5" t="s">
        <v>428</v>
      </c>
      <c r="D2308" s="6">
        <f>IFERROR(__xludf.DUMMYFUNCTION("SPLIT(MID(C2308,2,LEN(C2308)-2), "","")"),558.0)</f>
        <v>558</v>
      </c>
      <c r="E2308" s="7"/>
      <c r="F2308" s="7"/>
      <c r="G2308" s="2" t="str">
        <f t="array" ref="G2308">IF(ISBLANK(D2308), "", INDEX(Categories!$B:$B,MATCH(D2308,Categories!$A:$A,0)))</f>
        <v>Employment Agencies</v>
      </c>
      <c r="H2308" s="7" t="str">
        <f t="array" ref="H2308">IF(ISBLANK(E2308), "", INDEX(Categories!$B:$B,MATCH(E2308,Categories!$A:$A,0)))</f>
        <v/>
      </c>
      <c r="I2308" s="7" t="str">
        <f t="array" ref="I2308">IF(ISBLANK(F2308), "", INDEX(Categories!$B:$B,MATCH(F2308,Categories!$A:$A,0)))</f>
        <v/>
      </c>
      <c r="J2308" s="4"/>
      <c r="K2308" s="4"/>
      <c r="L2308" s="4"/>
      <c r="M2308" s="4"/>
      <c r="N2308" s="4"/>
      <c r="O2308" s="4"/>
      <c r="P2308" s="4"/>
      <c r="Q2308" s="4"/>
    </row>
    <row r="2309">
      <c r="A2309" s="5">
        <v>2308.0</v>
      </c>
      <c r="B2309" s="5" t="s">
        <v>2818</v>
      </c>
      <c r="C2309" s="5" t="s">
        <v>2819</v>
      </c>
      <c r="D2309" s="6">
        <f>IFERROR(__xludf.DUMMYFUNCTION("SPLIT(MID(C2309,2,LEN(C2309)-2), "","")"),2817.0)</f>
        <v>2817</v>
      </c>
      <c r="E2309" s="7"/>
      <c r="F2309" s="7"/>
      <c r="G2309" s="2" t="str">
        <f t="array" ref="G2309">IF(ISBLANK(D2309), "", INDEX(Categories!$B:$B,MATCH(D2309,Categories!$A:$A,0)))</f>
        <v>Clinics Medical</v>
      </c>
      <c r="H2309" s="7" t="str">
        <f t="array" ref="H2309">IF(ISBLANK(E2309), "", INDEX(Categories!$B:$B,MATCH(E2309,Categories!$A:$A,0)))</f>
        <v/>
      </c>
      <c r="I2309" s="7" t="str">
        <f t="array" ref="I2309">IF(ISBLANK(F2309), "", INDEX(Categories!$B:$B,MATCH(F2309,Categories!$A:$A,0)))</f>
        <v/>
      </c>
      <c r="J2309" s="4"/>
      <c r="K2309" s="4"/>
      <c r="L2309" s="4"/>
      <c r="M2309" s="4"/>
      <c r="N2309" s="4"/>
      <c r="O2309" s="4"/>
      <c r="P2309" s="4"/>
      <c r="Q2309" s="4"/>
    </row>
    <row r="2310">
      <c r="A2310" s="5">
        <v>2309.0</v>
      </c>
      <c r="B2310" s="5" t="s">
        <v>2820</v>
      </c>
      <c r="C2310" s="5" t="s">
        <v>428</v>
      </c>
      <c r="D2310" s="6">
        <f>IFERROR(__xludf.DUMMYFUNCTION("SPLIT(MID(C2310,2,LEN(C2310)-2), "","")"),558.0)</f>
        <v>558</v>
      </c>
      <c r="E2310" s="7"/>
      <c r="F2310" s="7"/>
      <c r="G2310" s="2" t="str">
        <f t="array" ref="G2310">IF(ISBLANK(D2310), "", INDEX(Categories!$B:$B,MATCH(D2310,Categories!$A:$A,0)))</f>
        <v>Employment Agencies</v>
      </c>
      <c r="H2310" s="7" t="str">
        <f t="array" ref="H2310">IF(ISBLANK(E2310), "", INDEX(Categories!$B:$B,MATCH(E2310,Categories!$A:$A,0)))</f>
        <v/>
      </c>
      <c r="I2310" s="7" t="str">
        <f t="array" ref="I2310">IF(ISBLANK(F2310), "", INDEX(Categories!$B:$B,MATCH(F2310,Categories!$A:$A,0)))</f>
        <v/>
      </c>
      <c r="J2310" s="4"/>
      <c r="K2310" s="4"/>
      <c r="L2310" s="4"/>
      <c r="M2310" s="4"/>
      <c r="N2310" s="4"/>
      <c r="O2310" s="4"/>
      <c r="P2310" s="4"/>
      <c r="Q2310" s="4"/>
    </row>
    <row r="2311">
      <c r="A2311" s="5">
        <v>2310.0</v>
      </c>
      <c r="B2311" s="5" t="s">
        <v>2821</v>
      </c>
      <c r="C2311" s="5" t="s">
        <v>69</v>
      </c>
      <c r="D2311" s="6">
        <f>IFERROR(__xludf.DUMMYFUNCTION("SPLIT(MID(C2311,2,LEN(C2311)-2), "","")"),293.0)</f>
        <v>293</v>
      </c>
      <c r="E2311" s="7"/>
      <c r="F2311" s="7"/>
      <c r="G2311" s="2" t="str">
        <f t="array" ref="G2311">IF(ISBLANK(D2311), "", INDEX(Categories!$B:$B,MATCH(D2311,Categories!$A:$A,0)))</f>
        <v>Banks Commercial</v>
      </c>
      <c r="H2311" s="7" t="str">
        <f t="array" ref="H2311">IF(ISBLANK(E2311), "", INDEX(Categories!$B:$B,MATCH(E2311,Categories!$A:$A,0)))</f>
        <v/>
      </c>
      <c r="I2311" s="7" t="str">
        <f t="array" ref="I2311">IF(ISBLANK(F2311), "", INDEX(Categories!$B:$B,MATCH(F2311,Categories!$A:$A,0)))</f>
        <v/>
      </c>
      <c r="J2311" s="4"/>
      <c r="K2311" s="4"/>
      <c r="L2311" s="4"/>
      <c r="M2311" s="4"/>
      <c r="N2311" s="4"/>
      <c r="O2311" s="4"/>
      <c r="P2311" s="4"/>
      <c r="Q2311" s="4"/>
    </row>
    <row r="2312">
      <c r="A2312" s="5">
        <v>2311.0</v>
      </c>
      <c r="B2312" s="5" t="s">
        <v>2822</v>
      </c>
      <c r="C2312" s="5" t="s">
        <v>69</v>
      </c>
      <c r="D2312" s="6">
        <f>IFERROR(__xludf.DUMMYFUNCTION("SPLIT(MID(C2312,2,LEN(C2312)-2), "","")"),293.0)</f>
        <v>293</v>
      </c>
      <c r="E2312" s="7"/>
      <c r="F2312" s="7"/>
      <c r="G2312" s="2" t="str">
        <f t="array" ref="G2312">IF(ISBLANK(D2312), "", INDEX(Categories!$B:$B,MATCH(D2312,Categories!$A:$A,0)))</f>
        <v>Banks Commercial</v>
      </c>
      <c r="H2312" s="7" t="str">
        <f t="array" ref="H2312">IF(ISBLANK(E2312), "", INDEX(Categories!$B:$B,MATCH(E2312,Categories!$A:$A,0)))</f>
        <v/>
      </c>
      <c r="I2312" s="7" t="str">
        <f t="array" ref="I2312">IF(ISBLANK(F2312), "", INDEX(Categories!$B:$B,MATCH(F2312,Categories!$A:$A,0)))</f>
        <v/>
      </c>
      <c r="J2312" s="4"/>
      <c r="K2312" s="4"/>
      <c r="L2312" s="4"/>
      <c r="M2312" s="4"/>
      <c r="N2312" s="4"/>
      <c r="O2312" s="4"/>
      <c r="P2312" s="4"/>
      <c r="Q2312" s="4"/>
    </row>
    <row r="2313">
      <c r="A2313" s="5">
        <v>2312.0</v>
      </c>
      <c r="B2313" s="5" t="s">
        <v>2823</v>
      </c>
      <c r="C2313" s="5" t="s">
        <v>69</v>
      </c>
      <c r="D2313" s="6">
        <f>IFERROR(__xludf.DUMMYFUNCTION("SPLIT(MID(C2313,2,LEN(C2313)-2), "","")"),293.0)</f>
        <v>293</v>
      </c>
      <c r="E2313" s="7"/>
      <c r="F2313" s="7"/>
      <c r="G2313" s="2" t="str">
        <f t="array" ref="G2313">IF(ISBLANK(D2313), "", INDEX(Categories!$B:$B,MATCH(D2313,Categories!$A:$A,0)))</f>
        <v>Banks Commercial</v>
      </c>
      <c r="H2313" s="7" t="str">
        <f t="array" ref="H2313">IF(ISBLANK(E2313), "", INDEX(Categories!$B:$B,MATCH(E2313,Categories!$A:$A,0)))</f>
        <v/>
      </c>
      <c r="I2313" s="7" t="str">
        <f t="array" ref="I2313">IF(ISBLANK(F2313), "", INDEX(Categories!$B:$B,MATCH(F2313,Categories!$A:$A,0)))</f>
        <v/>
      </c>
      <c r="J2313" s="4"/>
      <c r="K2313" s="4"/>
      <c r="L2313" s="4"/>
      <c r="M2313" s="4"/>
      <c r="N2313" s="4"/>
      <c r="O2313" s="4"/>
      <c r="P2313" s="4"/>
      <c r="Q2313" s="4"/>
    </row>
    <row r="2314">
      <c r="A2314" s="5">
        <v>2313.0</v>
      </c>
      <c r="B2314" s="5" t="s">
        <v>2824</v>
      </c>
      <c r="C2314" s="5" t="s">
        <v>2825</v>
      </c>
      <c r="D2314" s="6">
        <f>IFERROR(__xludf.DUMMYFUNCTION("SPLIT(MID(C2314,2,LEN(C2314)-2), "","")"),763.0)</f>
        <v>763</v>
      </c>
      <c r="E2314" s="7"/>
      <c r="F2314" s="7"/>
      <c r="G2314" s="2" t="str">
        <f t="array" ref="G2314">IF(ISBLANK(D2314), "", INDEX(Categories!$B:$B,MATCH(D2314,Categories!$A:$A,0)))</f>
        <v>Military Surplus</v>
      </c>
      <c r="H2314" s="7" t="str">
        <f t="array" ref="H2314">IF(ISBLANK(E2314), "", INDEX(Categories!$B:$B,MATCH(E2314,Categories!$A:$A,0)))</f>
        <v/>
      </c>
      <c r="I2314" s="7" t="str">
        <f t="array" ref="I2314">IF(ISBLANK(F2314), "", INDEX(Categories!$B:$B,MATCH(F2314,Categories!$A:$A,0)))</f>
        <v/>
      </c>
      <c r="J2314" s="4"/>
      <c r="K2314" s="4"/>
      <c r="L2314" s="4"/>
      <c r="M2314" s="4"/>
      <c r="N2314" s="4"/>
      <c r="O2314" s="4"/>
      <c r="P2314" s="4"/>
      <c r="Q2314" s="4"/>
    </row>
    <row r="2315">
      <c r="A2315" s="5">
        <v>2314.0</v>
      </c>
      <c r="B2315" s="5" t="s">
        <v>2826</v>
      </c>
      <c r="C2315" s="5" t="s">
        <v>2819</v>
      </c>
      <c r="D2315" s="6">
        <f>IFERROR(__xludf.DUMMYFUNCTION("SPLIT(MID(C2315,2,LEN(C2315)-2), "","")"),2817.0)</f>
        <v>2817</v>
      </c>
      <c r="E2315" s="7"/>
      <c r="F2315" s="7"/>
      <c r="G2315" s="2" t="str">
        <f t="array" ref="G2315">IF(ISBLANK(D2315), "", INDEX(Categories!$B:$B,MATCH(D2315,Categories!$A:$A,0)))</f>
        <v>Clinics Medical</v>
      </c>
      <c r="H2315" s="7" t="str">
        <f t="array" ref="H2315">IF(ISBLANK(E2315), "", INDEX(Categories!$B:$B,MATCH(E2315,Categories!$A:$A,0)))</f>
        <v/>
      </c>
      <c r="I2315" s="7" t="str">
        <f t="array" ref="I2315">IF(ISBLANK(F2315), "", INDEX(Categories!$B:$B,MATCH(F2315,Categories!$A:$A,0)))</f>
        <v/>
      </c>
      <c r="J2315" s="4"/>
      <c r="K2315" s="4"/>
      <c r="L2315" s="4"/>
      <c r="M2315" s="4"/>
      <c r="N2315" s="4"/>
      <c r="O2315" s="4"/>
      <c r="P2315" s="4"/>
      <c r="Q2315" s="4"/>
    </row>
    <row r="2316">
      <c r="A2316" s="5">
        <v>2315.0</v>
      </c>
      <c r="B2316" s="5" t="s">
        <v>2827</v>
      </c>
      <c r="C2316" s="5" t="s">
        <v>69</v>
      </c>
      <c r="D2316" s="6">
        <f>IFERROR(__xludf.DUMMYFUNCTION("SPLIT(MID(C2316,2,LEN(C2316)-2), "","")"),293.0)</f>
        <v>293</v>
      </c>
      <c r="E2316" s="7"/>
      <c r="F2316" s="7"/>
      <c r="G2316" s="2" t="str">
        <f t="array" ref="G2316">IF(ISBLANK(D2316), "", INDEX(Categories!$B:$B,MATCH(D2316,Categories!$A:$A,0)))</f>
        <v>Banks Commercial</v>
      </c>
      <c r="H2316" s="7" t="str">
        <f t="array" ref="H2316">IF(ISBLANK(E2316), "", INDEX(Categories!$B:$B,MATCH(E2316,Categories!$A:$A,0)))</f>
        <v/>
      </c>
      <c r="I2316" s="7" t="str">
        <f t="array" ref="I2316">IF(ISBLANK(F2316), "", INDEX(Categories!$B:$B,MATCH(F2316,Categories!$A:$A,0)))</f>
        <v/>
      </c>
      <c r="J2316" s="4"/>
      <c r="K2316" s="4"/>
      <c r="L2316" s="4"/>
      <c r="M2316" s="4"/>
      <c r="N2316" s="4"/>
      <c r="O2316" s="4"/>
      <c r="P2316" s="4"/>
      <c r="Q2316" s="4"/>
    </row>
    <row r="2317">
      <c r="A2317" s="5">
        <v>2316.0</v>
      </c>
      <c r="B2317" s="5" t="s">
        <v>2828</v>
      </c>
      <c r="C2317" s="5" t="s">
        <v>2819</v>
      </c>
      <c r="D2317" s="6">
        <f>IFERROR(__xludf.DUMMYFUNCTION("SPLIT(MID(C2317,2,LEN(C2317)-2), "","")"),2817.0)</f>
        <v>2817</v>
      </c>
      <c r="E2317" s="7"/>
      <c r="F2317" s="7"/>
      <c r="G2317" s="2" t="str">
        <f t="array" ref="G2317">IF(ISBLANK(D2317), "", INDEX(Categories!$B:$B,MATCH(D2317,Categories!$A:$A,0)))</f>
        <v>Clinics Medical</v>
      </c>
      <c r="H2317" s="7" t="str">
        <f t="array" ref="H2317">IF(ISBLANK(E2317), "", INDEX(Categories!$B:$B,MATCH(E2317,Categories!$A:$A,0)))</f>
        <v/>
      </c>
      <c r="I2317" s="7" t="str">
        <f t="array" ref="I2317">IF(ISBLANK(F2317), "", INDEX(Categories!$B:$B,MATCH(F2317,Categories!$A:$A,0)))</f>
        <v/>
      </c>
      <c r="J2317" s="4"/>
      <c r="K2317" s="4"/>
      <c r="L2317" s="4"/>
      <c r="M2317" s="4"/>
      <c r="N2317" s="4"/>
      <c r="O2317" s="4"/>
      <c r="P2317" s="4"/>
      <c r="Q2317" s="4"/>
    </row>
    <row r="2318">
      <c r="A2318" s="5">
        <v>2317.0</v>
      </c>
      <c r="B2318" s="5" t="s">
        <v>2829</v>
      </c>
      <c r="C2318" s="5" t="s">
        <v>1109</v>
      </c>
      <c r="D2318" s="6">
        <f>IFERROR(__xludf.DUMMYFUNCTION("SPLIT(MID(C2318,2,LEN(C2318)-2), "","")"),45.0)</f>
        <v>45</v>
      </c>
      <c r="E2318" s="7"/>
      <c r="F2318" s="7"/>
      <c r="G2318" s="2" t="str">
        <f t="array" ref="G2318">IF(ISBLANK(D2318), "", INDEX(Categories!$B:$B,MATCH(D2318,Categories!$A:$A,0)))</f>
        <v>Automobile - Parts &amp; Accessories</v>
      </c>
      <c r="H2318" s="7" t="str">
        <f t="array" ref="H2318">IF(ISBLANK(E2318), "", INDEX(Categories!$B:$B,MATCH(E2318,Categories!$A:$A,0)))</f>
        <v/>
      </c>
      <c r="I2318" s="7" t="str">
        <f t="array" ref="I2318">IF(ISBLANK(F2318), "", INDEX(Categories!$B:$B,MATCH(F2318,Categories!$A:$A,0)))</f>
        <v/>
      </c>
      <c r="J2318" s="4"/>
      <c r="K2318" s="4"/>
      <c r="L2318" s="4"/>
      <c r="M2318" s="4"/>
      <c r="N2318" s="4"/>
      <c r="O2318" s="4"/>
      <c r="P2318" s="4"/>
      <c r="Q2318" s="4"/>
    </row>
    <row r="2319">
      <c r="A2319" s="5">
        <v>2318.0</v>
      </c>
      <c r="B2319" s="5" t="s">
        <v>2830</v>
      </c>
      <c r="C2319" s="5" t="s">
        <v>69</v>
      </c>
      <c r="D2319" s="6">
        <f>IFERROR(__xludf.DUMMYFUNCTION("SPLIT(MID(C2319,2,LEN(C2319)-2), "","")"),293.0)</f>
        <v>293</v>
      </c>
      <c r="E2319" s="7"/>
      <c r="F2319" s="7"/>
      <c r="G2319" s="2" t="str">
        <f t="array" ref="G2319">IF(ISBLANK(D2319), "", INDEX(Categories!$B:$B,MATCH(D2319,Categories!$A:$A,0)))</f>
        <v>Banks Commercial</v>
      </c>
      <c r="H2319" s="7" t="str">
        <f t="array" ref="H2319">IF(ISBLANK(E2319), "", INDEX(Categories!$B:$B,MATCH(E2319,Categories!$A:$A,0)))</f>
        <v/>
      </c>
      <c r="I2319" s="7" t="str">
        <f t="array" ref="I2319">IF(ISBLANK(F2319), "", INDEX(Categories!$B:$B,MATCH(F2319,Categories!$A:$A,0)))</f>
        <v/>
      </c>
      <c r="J2319" s="4"/>
      <c r="K2319" s="4"/>
      <c r="L2319" s="4"/>
      <c r="M2319" s="4"/>
      <c r="N2319" s="4"/>
      <c r="O2319" s="4"/>
      <c r="P2319" s="4"/>
      <c r="Q2319" s="4"/>
    </row>
    <row r="2320">
      <c r="A2320" s="5">
        <v>2319.0</v>
      </c>
      <c r="B2320" s="5" t="s">
        <v>2831</v>
      </c>
      <c r="C2320" s="5" t="s">
        <v>43</v>
      </c>
      <c r="D2320" s="6">
        <f>IFERROR(__xludf.DUMMYFUNCTION("SPLIT(MID(C2320,2,LEN(C2320)-2), "","")"),292.0)</f>
        <v>292</v>
      </c>
      <c r="E2320" s="7"/>
      <c r="F2320" s="7"/>
      <c r="G2320" s="2" t="str">
        <f t="array" ref="G2320">IF(ISBLANK(D2320), "", INDEX(Categories!$B:$B,MATCH(D2320,Categories!$A:$A,0)))</f>
        <v>Banks</v>
      </c>
      <c r="H2320" s="7" t="str">
        <f t="array" ref="H2320">IF(ISBLANK(E2320), "", INDEX(Categories!$B:$B,MATCH(E2320,Categories!$A:$A,0)))</f>
        <v/>
      </c>
      <c r="I2320" s="7" t="str">
        <f t="array" ref="I2320">IF(ISBLANK(F2320), "", INDEX(Categories!$B:$B,MATCH(F2320,Categories!$A:$A,0)))</f>
        <v/>
      </c>
      <c r="J2320" s="4"/>
      <c r="K2320" s="4"/>
      <c r="L2320" s="4"/>
      <c r="M2320" s="4"/>
      <c r="N2320" s="4"/>
      <c r="O2320" s="4"/>
      <c r="P2320" s="4"/>
      <c r="Q2320" s="4"/>
    </row>
    <row r="2321">
      <c r="A2321" s="5">
        <v>2320.0</v>
      </c>
      <c r="B2321" s="5" t="s">
        <v>2832</v>
      </c>
      <c r="C2321" s="5" t="s">
        <v>69</v>
      </c>
      <c r="D2321" s="6">
        <f>IFERROR(__xludf.DUMMYFUNCTION("SPLIT(MID(C2321,2,LEN(C2321)-2), "","")"),293.0)</f>
        <v>293</v>
      </c>
      <c r="E2321" s="7"/>
      <c r="F2321" s="7"/>
      <c r="G2321" s="2" t="str">
        <f t="array" ref="G2321">IF(ISBLANK(D2321), "", INDEX(Categories!$B:$B,MATCH(D2321,Categories!$A:$A,0)))</f>
        <v>Banks Commercial</v>
      </c>
      <c r="H2321" s="7" t="str">
        <f t="array" ref="H2321">IF(ISBLANK(E2321), "", INDEX(Categories!$B:$B,MATCH(E2321,Categories!$A:$A,0)))</f>
        <v/>
      </c>
      <c r="I2321" s="7" t="str">
        <f t="array" ref="I2321">IF(ISBLANK(F2321), "", INDEX(Categories!$B:$B,MATCH(F2321,Categories!$A:$A,0)))</f>
        <v/>
      </c>
      <c r="J2321" s="4"/>
      <c r="K2321" s="4"/>
      <c r="L2321" s="4"/>
      <c r="M2321" s="4"/>
      <c r="N2321" s="4"/>
      <c r="O2321" s="4"/>
      <c r="P2321" s="4"/>
      <c r="Q2321" s="4"/>
    </row>
    <row r="2322">
      <c r="A2322" s="5">
        <v>2321.0</v>
      </c>
      <c r="B2322" s="5" t="s">
        <v>2833</v>
      </c>
      <c r="C2322" s="5" t="s">
        <v>69</v>
      </c>
      <c r="D2322" s="6">
        <f>IFERROR(__xludf.DUMMYFUNCTION("SPLIT(MID(C2322,2,LEN(C2322)-2), "","")"),293.0)</f>
        <v>293</v>
      </c>
      <c r="E2322" s="7"/>
      <c r="F2322" s="7"/>
      <c r="G2322" s="2" t="str">
        <f t="array" ref="G2322">IF(ISBLANK(D2322), "", INDEX(Categories!$B:$B,MATCH(D2322,Categories!$A:$A,0)))</f>
        <v>Banks Commercial</v>
      </c>
      <c r="H2322" s="7" t="str">
        <f t="array" ref="H2322">IF(ISBLANK(E2322), "", INDEX(Categories!$B:$B,MATCH(E2322,Categories!$A:$A,0)))</f>
        <v/>
      </c>
      <c r="I2322" s="7" t="str">
        <f t="array" ref="I2322">IF(ISBLANK(F2322), "", INDEX(Categories!$B:$B,MATCH(F2322,Categories!$A:$A,0)))</f>
        <v/>
      </c>
      <c r="J2322" s="4"/>
      <c r="K2322" s="4"/>
      <c r="L2322" s="4"/>
      <c r="M2322" s="4"/>
      <c r="N2322" s="4"/>
      <c r="O2322" s="4"/>
      <c r="P2322" s="4"/>
      <c r="Q2322" s="4"/>
    </row>
    <row r="2323">
      <c r="A2323" s="5">
        <v>2322.0</v>
      </c>
      <c r="B2323" s="5" t="s">
        <v>2834</v>
      </c>
      <c r="C2323" s="5" t="s">
        <v>96</v>
      </c>
      <c r="D2323" s="6">
        <f>IFERROR(__xludf.DUMMYFUNCTION("SPLIT(MID(C2323,2,LEN(C2323)-2), "","")"),572.0)</f>
        <v>572</v>
      </c>
      <c r="E2323" s="7"/>
      <c r="F2323" s="7"/>
      <c r="G2323" s="2" t="str">
        <f t="array" ref="G2323">IF(ISBLANK(D2323), "", INDEX(Categories!$B:$B,MATCH(D2323,Categories!$A:$A,0)))</f>
        <v>Groceries</v>
      </c>
      <c r="H2323" s="7" t="str">
        <f t="array" ref="H2323">IF(ISBLANK(E2323), "", INDEX(Categories!$B:$B,MATCH(E2323,Categories!$A:$A,0)))</f>
        <v/>
      </c>
      <c r="I2323" s="7" t="str">
        <f t="array" ref="I2323">IF(ISBLANK(F2323), "", INDEX(Categories!$B:$B,MATCH(F2323,Categories!$A:$A,0)))</f>
        <v/>
      </c>
      <c r="J2323" s="4"/>
      <c r="K2323" s="4"/>
      <c r="L2323" s="4"/>
      <c r="M2323" s="4"/>
      <c r="N2323" s="4"/>
      <c r="O2323" s="4"/>
      <c r="P2323" s="4"/>
      <c r="Q2323" s="4"/>
    </row>
    <row r="2324">
      <c r="A2324" s="5">
        <v>2323.0</v>
      </c>
      <c r="B2324" s="5" t="s">
        <v>2835</v>
      </c>
      <c r="C2324" s="5" t="s">
        <v>69</v>
      </c>
      <c r="D2324" s="6">
        <f>IFERROR(__xludf.DUMMYFUNCTION("SPLIT(MID(C2324,2,LEN(C2324)-2), "","")"),293.0)</f>
        <v>293</v>
      </c>
      <c r="E2324" s="7"/>
      <c r="F2324" s="7"/>
      <c r="G2324" s="2" t="str">
        <f t="array" ref="G2324">IF(ISBLANK(D2324), "", INDEX(Categories!$B:$B,MATCH(D2324,Categories!$A:$A,0)))</f>
        <v>Banks Commercial</v>
      </c>
      <c r="H2324" s="7" t="str">
        <f t="array" ref="H2324">IF(ISBLANK(E2324), "", INDEX(Categories!$B:$B,MATCH(E2324,Categories!$A:$A,0)))</f>
        <v/>
      </c>
      <c r="I2324" s="7" t="str">
        <f t="array" ref="I2324">IF(ISBLANK(F2324), "", INDEX(Categories!$B:$B,MATCH(F2324,Categories!$A:$A,0)))</f>
        <v/>
      </c>
      <c r="J2324" s="4"/>
      <c r="K2324" s="4"/>
      <c r="L2324" s="4"/>
      <c r="M2324" s="4"/>
      <c r="N2324" s="4"/>
      <c r="O2324" s="4"/>
      <c r="P2324" s="4"/>
      <c r="Q2324" s="4"/>
    </row>
    <row r="2325">
      <c r="A2325" s="5">
        <v>2324.0</v>
      </c>
      <c r="B2325" s="5" t="s">
        <v>2836</v>
      </c>
      <c r="C2325" s="5" t="s">
        <v>303</v>
      </c>
      <c r="D2325" s="6">
        <f>IFERROR(__xludf.DUMMYFUNCTION("SPLIT(MID(C2325,2,LEN(C2325)-2), "","")"),1241.0)</f>
        <v>1241</v>
      </c>
      <c r="E2325" s="7"/>
      <c r="F2325" s="7"/>
      <c r="G2325" s="2" t="str">
        <f t="array" ref="G2325">IF(ISBLANK(D2325), "", INDEX(Categories!$B:$B,MATCH(D2325,Categories!$A:$A,0)))</f>
        <v>Clothing &amp; Accessories</v>
      </c>
      <c r="H2325" s="7" t="str">
        <f t="array" ref="H2325">IF(ISBLANK(E2325), "", INDEX(Categories!$B:$B,MATCH(E2325,Categories!$A:$A,0)))</f>
        <v/>
      </c>
      <c r="I2325" s="7" t="str">
        <f t="array" ref="I2325">IF(ISBLANK(F2325), "", INDEX(Categories!$B:$B,MATCH(F2325,Categories!$A:$A,0)))</f>
        <v/>
      </c>
      <c r="J2325" s="4"/>
      <c r="K2325" s="4"/>
      <c r="L2325" s="4"/>
      <c r="M2325" s="4"/>
      <c r="N2325" s="4"/>
      <c r="O2325" s="4"/>
      <c r="P2325" s="4"/>
      <c r="Q2325" s="4"/>
    </row>
    <row r="2326">
      <c r="A2326" s="5">
        <v>2325.0</v>
      </c>
      <c r="B2326" s="5" t="s">
        <v>2837</v>
      </c>
      <c r="C2326" s="5" t="s">
        <v>34</v>
      </c>
      <c r="D2326" s="6">
        <f>IFERROR(__xludf.DUMMYFUNCTION("SPLIT(MID(C2326,2,LEN(C2326)-2), "","")"),228.0)</f>
        <v>228</v>
      </c>
      <c r="E2326" s="7"/>
      <c r="F2326" s="7"/>
      <c r="G2326" s="2" t="str">
        <f t="array" ref="G2326">IF(ISBLANK(D2326), "", INDEX(Categories!$B:$B,MATCH(D2326,Categories!$A:$A,0)))</f>
        <v>Restaurants</v>
      </c>
      <c r="H2326" s="7" t="str">
        <f t="array" ref="H2326">IF(ISBLANK(E2326), "", INDEX(Categories!$B:$B,MATCH(E2326,Categories!$A:$A,0)))</f>
        <v/>
      </c>
      <c r="I2326" s="7" t="str">
        <f t="array" ref="I2326">IF(ISBLANK(F2326), "", INDEX(Categories!$B:$B,MATCH(F2326,Categories!$A:$A,0)))</f>
        <v/>
      </c>
      <c r="J2326" s="4"/>
      <c r="K2326" s="4"/>
      <c r="L2326" s="4"/>
      <c r="M2326" s="4"/>
      <c r="N2326" s="4"/>
      <c r="O2326" s="4"/>
      <c r="P2326" s="4"/>
      <c r="Q2326" s="4"/>
    </row>
    <row r="2327">
      <c r="A2327" s="5">
        <v>2326.0</v>
      </c>
      <c r="B2327" s="5" t="s">
        <v>2838</v>
      </c>
      <c r="C2327" s="5" t="s">
        <v>303</v>
      </c>
      <c r="D2327" s="6">
        <f>IFERROR(__xludf.DUMMYFUNCTION("SPLIT(MID(C2327,2,LEN(C2327)-2), "","")"),1241.0)</f>
        <v>1241</v>
      </c>
      <c r="E2327" s="7"/>
      <c r="F2327" s="7"/>
      <c r="G2327" s="2" t="str">
        <f t="array" ref="G2327">IF(ISBLANK(D2327), "", INDEX(Categories!$B:$B,MATCH(D2327,Categories!$A:$A,0)))</f>
        <v>Clothing &amp; Accessories</v>
      </c>
      <c r="H2327" s="7" t="str">
        <f t="array" ref="H2327">IF(ISBLANK(E2327), "", INDEX(Categories!$B:$B,MATCH(E2327,Categories!$A:$A,0)))</f>
        <v/>
      </c>
      <c r="I2327" s="7" t="str">
        <f t="array" ref="I2327">IF(ISBLANK(F2327), "", INDEX(Categories!$B:$B,MATCH(F2327,Categories!$A:$A,0)))</f>
        <v/>
      </c>
      <c r="J2327" s="4"/>
      <c r="K2327" s="4"/>
      <c r="L2327" s="4"/>
      <c r="M2327" s="4"/>
      <c r="N2327" s="4"/>
      <c r="O2327" s="4"/>
      <c r="P2327" s="4"/>
      <c r="Q2327" s="4"/>
    </row>
    <row r="2328">
      <c r="A2328" s="5">
        <v>2327.0</v>
      </c>
      <c r="B2328" s="5" t="s">
        <v>2839</v>
      </c>
      <c r="C2328" s="5" t="s">
        <v>69</v>
      </c>
      <c r="D2328" s="6">
        <f>IFERROR(__xludf.DUMMYFUNCTION("SPLIT(MID(C2328,2,LEN(C2328)-2), "","")"),293.0)</f>
        <v>293</v>
      </c>
      <c r="E2328" s="7"/>
      <c r="F2328" s="7"/>
      <c r="G2328" s="2" t="str">
        <f t="array" ref="G2328">IF(ISBLANK(D2328), "", INDEX(Categories!$B:$B,MATCH(D2328,Categories!$A:$A,0)))</f>
        <v>Banks Commercial</v>
      </c>
      <c r="H2328" s="7" t="str">
        <f t="array" ref="H2328">IF(ISBLANK(E2328), "", INDEX(Categories!$B:$B,MATCH(E2328,Categories!$A:$A,0)))</f>
        <v/>
      </c>
      <c r="I2328" s="7" t="str">
        <f t="array" ref="I2328">IF(ISBLANK(F2328), "", INDEX(Categories!$B:$B,MATCH(F2328,Categories!$A:$A,0)))</f>
        <v/>
      </c>
      <c r="J2328" s="4"/>
      <c r="K2328" s="4"/>
      <c r="L2328" s="4"/>
      <c r="M2328" s="4"/>
      <c r="N2328" s="4"/>
      <c r="O2328" s="4"/>
      <c r="P2328" s="4"/>
      <c r="Q2328" s="4"/>
    </row>
    <row r="2329">
      <c r="A2329" s="5">
        <v>2328.0</v>
      </c>
      <c r="B2329" s="5" t="s">
        <v>2840</v>
      </c>
      <c r="C2329" s="5" t="s">
        <v>69</v>
      </c>
      <c r="D2329" s="6">
        <f>IFERROR(__xludf.DUMMYFUNCTION("SPLIT(MID(C2329,2,LEN(C2329)-2), "","")"),293.0)</f>
        <v>293</v>
      </c>
      <c r="E2329" s="7"/>
      <c r="F2329" s="7"/>
      <c r="G2329" s="2" t="str">
        <f t="array" ref="G2329">IF(ISBLANK(D2329), "", INDEX(Categories!$B:$B,MATCH(D2329,Categories!$A:$A,0)))</f>
        <v>Banks Commercial</v>
      </c>
      <c r="H2329" s="7" t="str">
        <f t="array" ref="H2329">IF(ISBLANK(E2329), "", INDEX(Categories!$B:$B,MATCH(E2329,Categories!$A:$A,0)))</f>
        <v/>
      </c>
      <c r="I2329" s="7" t="str">
        <f t="array" ref="I2329">IF(ISBLANK(F2329), "", INDEX(Categories!$B:$B,MATCH(F2329,Categories!$A:$A,0)))</f>
        <v/>
      </c>
      <c r="J2329" s="4"/>
      <c r="K2329" s="4"/>
      <c r="L2329" s="4"/>
      <c r="M2329" s="4"/>
      <c r="N2329" s="4"/>
      <c r="O2329" s="4"/>
      <c r="P2329" s="4"/>
      <c r="Q2329" s="4"/>
    </row>
    <row r="2330">
      <c r="A2330" s="5">
        <v>2329.0</v>
      </c>
      <c r="B2330" s="5" t="s">
        <v>2841</v>
      </c>
      <c r="C2330" s="5" t="s">
        <v>2659</v>
      </c>
      <c r="D2330" s="6">
        <f>IFERROR(__xludf.DUMMYFUNCTION("SPLIT(MID(C2330,2,LEN(C2330)-2), "","")"),456.0)</f>
        <v>456</v>
      </c>
      <c r="E2330" s="7"/>
      <c r="F2330" s="7"/>
      <c r="G2330" s="2" t="str">
        <f t="array" ref="G2330">IF(ISBLANK(D2330), "", INDEX(Categories!$B:$B,MATCH(D2330,Categories!$A:$A,0)))</f>
        <v>Movie Theaters</v>
      </c>
      <c r="H2330" s="7" t="str">
        <f t="array" ref="H2330">IF(ISBLANK(E2330), "", INDEX(Categories!$B:$B,MATCH(E2330,Categories!$A:$A,0)))</f>
        <v/>
      </c>
      <c r="I2330" s="7" t="str">
        <f t="array" ref="I2330">IF(ISBLANK(F2330), "", INDEX(Categories!$B:$B,MATCH(F2330,Categories!$A:$A,0)))</f>
        <v/>
      </c>
      <c r="J2330" s="4"/>
      <c r="K2330" s="4"/>
      <c r="L2330" s="4"/>
      <c r="M2330" s="4"/>
      <c r="N2330" s="4"/>
      <c r="O2330" s="4"/>
      <c r="P2330" s="4"/>
      <c r="Q2330" s="4"/>
    </row>
    <row r="2331">
      <c r="A2331" s="5">
        <v>2330.0</v>
      </c>
      <c r="B2331" s="5" t="s">
        <v>2842</v>
      </c>
      <c r="C2331" s="5" t="s">
        <v>2819</v>
      </c>
      <c r="D2331" s="6">
        <f>IFERROR(__xludf.DUMMYFUNCTION("SPLIT(MID(C2331,2,LEN(C2331)-2), "","")"),2817.0)</f>
        <v>2817</v>
      </c>
      <c r="E2331" s="7"/>
      <c r="F2331" s="7"/>
      <c r="G2331" s="2" t="str">
        <f t="array" ref="G2331">IF(ISBLANK(D2331), "", INDEX(Categories!$B:$B,MATCH(D2331,Categories!$A:$A,0)))</f>
        <v>Clinics Medical</v>
      </c>
      <c r="H2331" s="7" t="str">
        <f t="array" ref="H2331">IF(ISBLANK(E2331), "", INDEX(Categories!$B:$B,MATCH(E2331,Categories!$A:$A,0)))</f>
        <v/>
      </c>
      <c r="I2331" s="7" t="str">
        <f t="array" ref="I2331">IF(ISBLANK(F2331), "", INDEX(Categories!$B:$B,MATCH(F2331,Categories!$A:$A,0)))</f>
        <v/>
      </c>
      <c r="J2331" s="4"/>
      <c r="K2331" s="4"/>
      <c r="L2331" s="4"/>
      <c r="M2331" s="4"/>
      <c r="N2331" s="4"/>
      <c r="O2331" s="4"/>
      <c r="P2331" s="4"/>
      <c r="Q2331" s="4"/>
    </row>
    <row r="2332">
      <c r="A2332" s="5">
        <v>2331.0</v>
      </c>
      <c r="B2332" s="5" t="s">
        <v>2843</v>
      </c>
      <c r="C2332" s="5" t="s">
        <v>69</v>
      </c>
      <c r="D2332" s="6">
        <f>IFERROR(__xludf.DUMMYFUNCTION("SPLIT(MID(C2332,2,LEN(C2332)-2), "","")"),293.0)</f>
        <v>293</v>
      </c>
      <c r="E2332" s="7"/>
      <c r="F2332" s="7"/>
      <c r="G2332" s="2" t="str">
        <f t="array" ref="G2332">IF(ISBLANK(D2332), "", INDEX(Categories!$B:$B,MATCH(D2332,Categories!$A:$A,0)))</f>
        <v>Banks Commercial</v>
      </c>
      <c r="H2332" s="7" t="str">
        <f t="array" ref="H2332">IF(ISBLANK(E2332), "", INDEX(Categories!$B:$B,MATCH(E2332,Categories!$A:$A,0)))</f>
        <v/>
      </c>
      <c r="I2332" s="7" t="str">
        <f t="array" ref="I2332">IF(ISBLANK(F2332), "", INDEX(Categories!$B:$B,MATCH(F2332,Categories!$A:$A,0)))</f>
        <v/>
      </c>
      <c r="J2332" s="4"/>
      <c r="K2332" s="4"/>
      <c r="L2332" s="4"/>
      <c r="M2332" s="4"/>
      <c r="N2332" s="4"/>
      <c r="O2332" s="4"/>
      <c r="P2332" s="4"/>
      <c r="Q2332" s="4"/>
    </row>
    <row r="2333">
      <c r="A2333" s="5">
        <v>2332.0</v>
      </c>
      <c r="B2333" s="5" t="s">
        <v>2844</v>
      </c>
      <c r="C2333" s="5" t="s">
        <v>69</v>
      </c>
      <c r="D2333" s="6">
        <f>IFERROR(__xludf.DUMMYFUNCTION("SPLIT(MID(C2333,2,LEN(C2333)-2), "","")"),293.0)</f>
        <v>293</v>
      </c>
      <c r="E2333" s="7"/>
      <c r="F2333" s="7"/>
      <c r="G2333" s="2" t="str">
        <f t="array" ref="G2333">IF(ISBLANK(D2333), "", INDEX(Categories!$B:$B,MATCH(D2333,Categories!$A:$A,0)))</f>
        <v>Banks Commercial</v>
      </c>
      <c r="H2333" s="7" t="str">
        <f t="array" ref="H2333">IF(ISBLANK(E2333), "", INDEX(Categories!$B:$B,MATCH(E2333,Categories!$A:$A,0)))</f>
        <v/>
      </c>
      <c r="I2333" s="7" t="str">
        <f t="array" ref="I2333">IF(ISBLANK(F2333), "", INDEX(Categories!$B:$B,MATCH(F2333,Categories!$A:$A,0)))</f>
        <v/>
      </c>
      <c r="J2333" s="4"/>
      <c r="K2333" s="4"/>
      <c r="L2333" s="4"/>
      <c r="M2333" s="4"/>
      <c r="N2333" s="4"/>
      <c r="O2333" s="4"/>
      <c r="P2333" s="4"/>
      <c r="Q2333" s="4"/>
    </row>
    <row r="2334">
      <c r="A2334" s="5">
        <v>2333.0</v>
      </c>
      <c r="B2334" s="5" t="s">
        <v>2845</v>
      </c>
      <c r="C2334" s="5" t="s">
        <v>2819</v>
      </c>
      <c r="D2334" s="6">
        <f>IFERROR(__xludf.DUMMYFUNCTION("SPLIT(MID(C2334,2,LEN(C2334)-2), "","")"),2817.0)</f>
        <v>2817</v>
      </c>
      <c r="E2334" s="7"/>
      <c r="F2334" s="7"/>
      <c r="G2334" s="2" t="str">
        <f t="array" ref="G2334">IF(ISBLANK(D2334), "", INDEX(Categories!$B:$B,MATCH(D2334,Categories!$A:$A,0)))</f>
        <v>Clinics Medical</v>
      </c>
      <c r="H2334" s="7" t="str">
        <f t="array" ref="H2334">IF(ISBLANK(E2334), "", INDEX(Categories!$B:$B,MATCH(E2334,Categories!$A:$A,0)))</f>
        <v/>
      </c>
      <c r="I2334" s="7" t="str">
        <f t="array" ref="I2334">IF(ISBLANK(F2334), "", INDEX(Categories!$B:$B,MATCH(F2334,Categories!$A:$A,0)))</f>
        <v/>
      </c>
      <c r="J2334" s="4"/>
      <c r="K2334" s="4"/>
      <c r="L2334" s="4"/>
      <c r="M2334" s="4"/>
      <c r="N2334" s="4"/>
      <c r="O2334" s="4"/>
      <c r="P2334" s="4"/>
      <c r="Q2334" s="4"/>
    </row>
    <row r="2335">
      <c r="A2335" s="5">
        <v>2334.0</v>
      </c>
      <c r="B2335" s="5" t="s">
        <v>2846</v>
      </c>
      <c r="C2335" s="5" t="s">
        <v>200</v>
      </c>
      <c r="D2335" s="6">
        <f>IFERROR(__xludf.DUMMYFUNCTION("SPLIT(MID(C2335,2,LEN(C2335)-2), "","")"),316.0)</f>
        <v>316</v>
      </c>
      <c r="E2335" s="7"/>
      <c r="F2335" s="7"/>
      <c r="G2335" s="2" t="str">
        <f t="array" ref="G2335">IF(ISBLANK(D2335), "", INDEX(Categories!$B:$B,MATCH(D2335,Categories!$A:$A,0)))</f>
        <v>Sporting Goods</v>
      </c>
      <c r="H2335" s="7" t="str">
        <f t="array" ref="H2335">IF(ISBLANK(E2335), "", INDEX(Categories!$B:$B,MATCH(E2335,Categories!$A:$A,0)))</f>
        <v/>
      </c>
      <c r="I2335" s="7" t="str">
        <f t="array" ref="I2335">IF(ISBLANK(F2335), "", INDEX(Categories!$B:$B,MATCH(F2335,Categories!$A:$A,0)))</f>
        <v/>
      </c>
      <c r="J2335" s="4"/>
      <c r="K2335" s="4"/>
      <c r="L2335" s="4"/>
      <c r="M2335" s="4"/>
      <c r="N2335" s="4"/>
      <c r="O2335" s="4"/>
      <c r="P2335" s="4"/>
      <c r="Q2335" s="4"/>
    </row>
    <row r="2336">
      <c r="A2336" s="5">
        <v>2335.0</v>
      </c>
      <c r="B2336" s="5" t="s">
        <v>2847</v>
      </c>
      <c r="C2336" s="5" t="s">
        <v>2049</v>
      </c>
      <c r="D2336" s="6">
        <f>IFERROR(__xludf.DUMMYFUNCTION("SPLIT(MID(C2336,2,LEN(C2336)-2), "","")"),1250.0)</f>
        <v>1250</v>
      </c>
      <c r="E2336" s="7"/>
      <c r="F2336" s="7"/>
      <c r="G2336" s="2" t="str">
        <f t="array" ref="G2336">IF(ISBLANK(D2336), "", INDEX(Categories!$B:$B,MATCH(D2336,Categories!$A:$A,0)))</f>
        <v>Designers Apparel</v>
      </c>
      <c r="H2336" s="7" t="str">
        <f t="array" ref="H2336">IF(ISBLANK(E2336), "", INDEX(Categories!$B:$B,MATCH(E2336,Categories!$A:$A,0)))</f>
        <v/>
      </c>
      <c r="I2336" s="7" t="str">
        <f t="array" ref="I2336">IF(ISBLANK(F2336), "", INDEX(Categories!$B:$B,MATCH(F2336,Categories!$A:$A,0)))</f>
        <v/>
      </c>
      <c r="J2336" s="4"/>
      <c r="K2336" s="4"/>
      <c r="L2336" s="4"/>
      <c r="M2336" s="4"/>
      <c r="N2336" s="4"/>
      <c r="O2336" s="4"/>
      <c r="P2336" s="4"/>
      <c r="Q2336" s="4"/>
    </row>
    <row r="2337">
      <c r="A2337" s="5">
        <v>2336.0</v>
      </c>
      <c r="B2337" s="5" t="s">
        <v>2848</v>
      </c>
      <c r="C2337" s="5" t="s">
        <v>34</v>
      </c>
      <c r="D2337" s="6">
        <f>IFERROR(__xludf.DUMMYFUNCTION("SPLIT(MID(C2337,2,LEN(C2337)-2), "","")"),228.0)</f>
        <v>228</v>
      </c>
      <c r="E2337" s="7"/>
      <c r="F2337" s="7"/>
      <c r="G2337" s="2" t="str">
        <f t="array" ref="G2337">IF(ISBLANK(D2337), "", INDEX(Categories!$B:$B,MATCH(D2337,Categories!$A:$A,0)))</f>
        <v>Restaurants</v>
      </c>
      <c r="H2337" s="7" t="str">
        <f t="array" ref="H2337">IF(ISBLANK(E2337), "", INDEX(Categories!$B:$B,MATCH(E2337,Categories!$A:$A,0)))</f>
        <v/>
      </c>
      <c r="I2337" s="7" t="str">
        <f t="array" ref="I2337">IF(ISBLANK(F2337), "", INDEX(Categories!$B:$B,MATCH(F2337,Categories!$A:$A,0)))</f>
        <v/>
      </c>
      <c r="J2337" s="4"/>
      <c r="K2337" s="4"/>
      <c r="L2337" s="4"/>
      <c r="M2337" s="4"/>
      <c r="N2337" s="4"/>
      <c r="O2337" s="4"/>
      <c r="P2337" s="4"/>
      <c r="Q2337" s="4"/>
    </row>
    <row r="2338">
      <c r="A2338" s="5">
        <v>2337.0</v>
      </c>
      <c r="B2338" s="5" t="s">
        <v>2849</v>
      </c>
      <c r="C2338" s="5" t="s">
        <v>2819</v>
      </c>
      <c r="D2338" s="6">
        <f>IFERROR(__xludf.DUMMYFUNCTION("SPLIT(MID(C2338,2,LEN(C2338)-2), "","")"),2817.0)</f>
        <v>2817</v>
      </c>
      <c r="E2338" s="7"/>
      <c r="F2338" s="7"/>
      <c r="G2338" s="2" t="str">
        <f t="array" ref="G2338">IF(ISBLANK(D2338), "", INDEX(Categories!$B:$B,MATCH(D2338,Categories!$A:$A,0)))</f>
        <v>Clinics Medical</v>
      </c>
      <c r="H2338" s="7" t="str">
        <f t="array" ref="H2338">IF(ISBLANK(E2338), "", INDEX(Categories!$B:$B,MATCH(E2338,Categories!$A:$A,0)))</f>
        <v/>
      </c>
      <c r="I2338" s="7" t="str">
        <f t="array" ref="I2338">IF(ISBLANK(F2338), "", INDEX(Categories!$B:$B,MATCH(F2338,Categories!$A:$A,0)))</f>
        <v/>
      </c>
      <c r="J2338" s="4"/>
      <c r="K2338" s="4"/>
      <c r="L2338" s="4"/>
      <c r="M2338" s="4"/>
      <c r="N2338" s="4"/>
      <c r="O2338" s="4"/>
      <c r="P2338" s="4"/>
      <c r="Q2338" s="4"/>
    </row>
    <row r="2339">
      <c r="A2339" s="5">
        <v>2338.0</v>
      </c>
      <c r="B2339" s="5" t="s">
        <v>2850</v>
      </c>
      <c r="C2339" s="5" t="s">
        <v>87</v>
      </c>
      <c r="D2339" s="6">
        <f>IFERROR(__xludf.DUMMYFUNCTION("SPLIT(MID(C2339,2,LEN(C2339)-2), "","")"),168.0)</f>
        <v>168</v>
      </c>
      <c r="E2339" s="7"/>
      <c r="F2339" s="7"/>
      <c r="G2339" s="2" t="str">
        <f t="array" ref="G2339">IF(ISBLANK(D2339), "", INDEX(Categories!$B:$B,MATCH(D2339,Categories!$A:$A,0)))</f>
        <v>Hotels &amp; Motels</v>
      </c>
      <c r="H2339" s="7" t="str">
        <f t="array" ref="H2339">IF(ISBLANK(E2339), "", INDEX(Categories!$B:$B,MATCH(E2339,Categories!$A:$A,0)))</f>
        <v/>
      </c>
      <c r="I2339" s="7" t="str">
        <f t="array" ref="I2339">IF(ISBLANK(F2339), "", INDEX(Categories!$B:$B,MATCH(F2339,Categories!$A:$A,0)))</f>
        <v/>
      </c>
      <c r="J2339" s="4"/>
      <c r="K2339" s="4"/>
      <c r="L2339" s="4"/>
      <c r="M2339" s="4"/>
      <c r="N2339" s="4"/>
      <c r="O2339" s="4"/>
      <c r="P2339" s="4"/>
      <c r="Q2339" s="4"/>
    </row>
    <row r="2340">
      <c r="A2340" s="5">
        <v>2339.0</v>
      </c>
      <c r="B2340" s="5" t="s">
        <v>2851</v>
      </c>
      <c r="C2340" s="5" t="s">
        <v>691</v>
      </c>
      <c r="D2340" s="6">
        <f>IFERROR(__xludf.DUMMYFUNCTION("SPLIT(MID(C2340,2,LEN(C2340)-2), "","")"),1323.0)</f>
        <v>1323</v>
      </c>
      <c r="E2340" s="7"/>
      <c r="F2340" s="7"/>
      <c r="G2340" s="2" t="str">
        <f t="array" ref="G2340">IF(ISBLANK(D2340), "", INDEX(Categories!$B:$B,MATCH(D2340,Categories!$A:$A,0)))</f>
        <v>Investment Advisory Service</v>
      </c>
      <c r="H2340" s="7" t="str">
        <f t="array" ref="H2340">IF(ISBLANK(E2340), "", INDEX(Categories!$B:$B,MATCH(E2340,Categories!$A:$A,0)))</f>
        <v/>
      </c>
      <c r="I2340" s="7" t="str">
        <f t="array" ref="I2340">IF(ISBLANK(F2340), "", INDEX(Categories!$B:$B,MATCH(F2340,Categories!$A:$A,0)))</f>
        <v/>
      </c>
      <c r="J2340" s="4"/>
      <c r="K2340" s="4"/>
      <c r="L2340" s="4"/>
      <c r="M2340" s="4"/>
      <c r="N2340" s="4"/>
      <c r="O2340" s="4"/>
      <c r="P2340" s="4"/>
      <c r="Q2340" s="4"/>
    </row>
    <row r="2341">
      <c r="A2341" s="5">
        <v>2340.0</v>
      </c>
      <c r="B2341" s="5" t="s">
        <v>2852</v>
      </c>
      <c r="C2341" s="5" t="s">
        <v>69</v>
      </c>
      <c r="D2341" s="6">
        <f>IFERROR(__xludf.DUMMYFUNCTION("SPLIT(MID(C2341,2,LEN(C2341)-2), "","")"),293.0)</f>
        <v>293</v>
      </c>
      <c r="E2341" s="7"/>
      <c r="F2341" s="7"/>
      <c r="G2341" s="2" t="str">
        <f t="array" ref="G2341">IF(ISBLANK(D2341), "", INDEX(Categories!$B:$B,MATCH(D2341,Categories!$A:$A,0)))</f>
        <v>Banks Commercial</v>
      </c>
      <c r="H2341" s="7" t="str">
        <f t="array" ref="H2341">IF(ISBLANK(E2341), "", INDEX(Categories!$B:$B,MATCH(E2341,Categories!$A:$A,0)))</f>
        <v/>
      </c>
      <c r="I2341" s="7" t="str">
        <f t="array" ref="I2341">IF(ISBLANK(F2341), "", INDEX(Categories!$B:$B,MATCH(F2341,Categories!$A:$A,0)))</f>
        <v/>
      </c>
      <c r="J2341" s="4"/>
      <c r="K2341" s="4"/>
      <c r="L2341" s="4"/>
      <c r="M2341" s="4"/>
      <c r="N2341" s="4"/>
      <c r="O2341" s="4"/>
      <c r="P2341" s="4"/>
      <c r="Q2341" s="4"/>
    </row>
    <row r="2342">
      <c r="A2342" s="5">
        <v>2341.0</v>
      </c>
      <c r="B2342" s="5" t="s">
        <v>2853</v>
      </c>
      <c r="C2342" s="5" t="s">
        <v>69</v>
      </c>
      <c r="D2342" s="6">
        <f>IFERROR(__xludf.DUMMYFUNCTION("SPLIT(MID(C2342,2,LEN(C2342)-2), "","")"),293.0)</f>
        <v>293</v>
      </c>
      <c r="E2342" s="7"/>
      <c r="F2342" s="7"/>
      <c r="G2342" s="2" t="str">
        <f t="array" ref="G2342">IF(ISBLANK(D2342), "", INDEX(Categories!$B:$B,MATCH(D2342,Categories!$A:$A,0)))</f>
        <v>Banks Commercial</v>
      </c>
      <c r="H2342" s="7" t="str">
        <f t="array" ref="H2342">IF(ISBLANK(E2342), "", INDEX(Categories!$B:$B,MATCH(E2342,Categories!$A:$A,0)))</f>
        <v/>
      </c>
      <c r="I2342" s="7" t="str">
        <f t="array" ref="I2342">IF(ISBLANK(F2342), "", INDEX(Categories!$B:$B,MATCH(F2342,Categories!$A:$A,0)))</f>
        <v/>
      </c>
      <c r="J2342" s="4"/>
      <c r="K2342" s="4"/>
      <c r="L2342" s="4"/>
      <c r="M2342" s="4"/>
      <c r="N2342" s="4"/>
      <c r="O2342" s="4"/>
      <c r="P2342" s="4"/>
      <c r="Q2342" s="4"/>
    </row>
    <row r="2343">
      <c r="A2343" s="5">
        <v>2342.0</v>
      </c>
      <c r="B2343" s="5" t="s">
        <v>2854</v>
      </c>
      <c r="C2343" s="5" t="s">
        <v>2855</v>
      </c>
      <c r="D2343" s="6">
        <f>IFERROR(__xludf.DUMMYFUNCTION("SPLIT(MID(C2343,2,LEN(C2343)-2), "","")"),1424.0)</f>
        <v>1424</v>
      </c>
      <c r="E2343" s="7"/>
      <c r="F2343" s="7"/>
      <c r="G2343" s="2" t="str">
        <f t="array" ref="G2343">IF(ISBLANK(D2343), "", INDEX(Categories!$B:$B,MATCH(D2343,Categories!$A:$A,0)))</f>
        <v>Vending Machines</v>
      </c>
      <c r="H2343" s="7" t="str">
        <f t="array" ref="H2343">IF(ISBLANK(E2343), "", INDEX(Categories!$B:$B,MATCH(E2343,Categories!$A:$A,0)))</f>
        <v/>
      </c>
      <c r="I2343" s="7" t="str">
        <f t="array" ref="I2343">IF(ISBLANK(F2343), "", INDEX(Categories!$B:$B,MATCH(F2343,Categories!$A:$A,0)))</f>
        <v/>
      </c>
      <c r="J2343" s="4"/>
      <c r="K2343" s="4"/>
      <c r="L2343" s="4"/>
      <c r="M2343" s="4"/>
      <c r="N2343" s="4"/>
      <c r="O2343" s="4"/>
      <c r="P2343" s="4"/>
      <c r="Q2343" s="4"/>
    </row>
    <row r="2344">
      <c r="A2344" s="5">
        <v>2343.0</v>
      </c>
      <c r="B2344" s="5" t="s">
        <v>2856</v>
      </c>
      <c r="C2344" s="5" t="s">
        <v>34</v>
      </c>
      <c r="D2344" s="6">
        <f>IFERROR(__xludf.DUMMYFUNCTION("SPLIT(MID(C2344,2,LEN(C2344)-2), "","")"),228.0)</f>
        <v>228</v>
      </c>
      <c r="E2344" s="7"/>
      <c r="F2344" s="7"/>
      <c r="G2344" s="2" t="str">
        <f t="array" ref="G2344">IF(ISBLANK(D2344), "", INDEX(Categories!$B:$B,MATCH(D2344,Categories!$A:$A,0)))</f>
        <v>Restaurants</v>
      </c>
      <c r="H2344" s="7" t="str">
        <f t="array" ref="H2344">IF(ISBLANK(E2344), "", INDEX(Categories!$B:$B,MATCH(E2344,Categories!$A:$A,0)))</f>
        <v/>
      </c>
      <c r="I2344" s="7" t="str">
        <f t="array" ref="I2344">IF(ISBLANK(F2344), "", INDEX(Categories!$B:$B,MATCH(F2344,Categories!$A:$A,0)))</f>
        <v/>
      </c>
      <c r="J2344" s="4"/>
      <c r="K2344" s="4"/>
      <c r="L2344" s="4"/>
      <c r="M2344" s="4"/>
      <c r="N2344" s="4"/>
      <c r="O2344" s="4"/>
      <c r="P2344" s="4"/>
      <c r="Q2344" s="4"/>
    </row>
    <row r="2345">
      <c r="A2345" s="5">
        <v>2344.0</v>
      </c>
      <c r="B2345" s="5" t="s">
        <v>2857</v>
      </c>
      <c r="C2345" s="5" t="s">
        <v>34</v>
      </c>
      <c r="D2345" s="6">
        <f>IFERROR(__xludf.DUMMYFUNCTION("SPLIT(MID(C2345,2,LEN(C2345)-2), "","")"),228.0)</f>
        <v>228</v>
      </c>
      <c r="E2345" s="7"/>
      <c r="F2345" s="7"/>
      <c r="G2345" s="2" t="str">
        <f t="array" ref="G2345">IF(ISBLANK(D2345), "", INDEX(Categories!$B:$B,MATCH(D2345,Categories!$A:$A,0)))</f>
        <v>Restaurants</v>
      </c>
      <c r="H2345" s="7" t="str">
        <f t="array" ref="H2345">IF(ISBLANK(E2345), "", INDEX(Categories!$B:$B,MATCH(E2345,Categories!$A:$A,0)))</f>
        <v/>
      </c>
      <c r="I2345" s="7" t="str">
        <f t="array" ref="I2345">IF(ISBLANK(F2345), "", INDEX(Categories!$B:$B,MATCH(F2345,Categories!$A:$A,0)))</f>
        <v/>
      </c>
      <c r="J2345" s="4"/>
      <c r="K2345" s="4"/>
      <c r="L2345" s="4"/>
      <c r="M2345" s="4"/>
      <c r="N2345" s="4"/>
      <c r="O2345" s="4"/>
      <c r="P2345" s="4"/>
      <c r="Q2345" s="4"/>
    </row>
    <row r="2346">
      <c r="A2346" s="5">
        <v>2345.0</v>
      </c>
      <c r="B2346" s="5" t="s">
        <v>2858</v>
      </c>
      <c r="C2346" s="5" t="s">
        <v>2248</v>
      </c>
      <c r="D2346" s="6">
        <f>IFERROR(__xludf.DUMMYFUNCTION("SPLIT(MID(C2346,2,LEN(C2346)-2), "","")"),1591.0)</f>
        <v>1591</v>
      </c>
      <c r="E2346" s="7"/>
      <c r="F2346" s="7"/>
      <c r="G2346" s="2" t="str">
        <f t="array" ref="G2346">IF(ISBLANK(D2346), "", INDEX(Categories!$B:$B,MATCH(D2346,Categories!$A:$A,0)))</f>
        <v>Tutoring</v>
      </c>
      <c r="H2346" s="7" t="str">
        <f t="array" ref="H2346">IF(ISBLANK(E2346), "", INDEX(Categories!$B:$B,MATCH(E2346,Categories!$A:$A,0)))</f>
        <v/>
      </c>
      <c r="I2346" s="7" t="str">
        <f t="array" ref="I2346">IF(ISBLANK(F2346), "", INDEX(Categories!$B:$B,MATCH(F2346,Categories!$A:$A,0)))</f>
        <v/>
      </c>
      <c r="J2346" s="4"/>
      <c r="K2346" s="4"/>
      <c r="L2346" s="4"/>
      <c r="M2346" s="4"/>
      <c r="N2346" s="4"/>
      <c r="O2346" s="4"/>
      <c r="P2346" s="4"/>
      <c r="Q2346" s="4"/>
    </row>
    <row r="2347">
      <c r="A2347" s="5">
        <v>2346.0</v>
      </c>
      <c r="B2347" s="5" t="s">
        <v>2859</v>
      </c>
      <c r="C2347" s="5" t="s">
        <v>200</v>
      </c>
      <c r="D2347" s="6">
        <f>IFERROR(__xludf.DUMMYFUNCTION("SPLIT(MID(C2347,2,LEN(C2347)-2), "","")"),316.0)</f>
        <v>316</v>
      </c>
      <c r="E2347" s="7"/>
      <c r="F2347" s="7"/>
      <c r="G2347" s="2" t="str">
        <f t="array" ref="G2347">IF(ISBLANK(D2347), "", INDEX(Categories!$B:$B,MATCH(D2347,Categories!$A:$A,0)))</f>
        <v>Sporting Goods</v>
      </c>
      <c r="H2347" s="7" t="str">
        <f t="array" ref="H2347">IF(ISBLANK(E2347), "", INDEX(Categories!$B:$B,MATCH(E2347,Categories!$A:$A,0)))</f>
        <v/>
      </c>
      <c r="I2347" s="7" t="str">
        <f t="array" ref="I2347">IF(ISBLANK(F2347), "", INDEX(Categories!$B:$B,MATCH(F2347,Categories!$A:$A,0)))</f>
        <v/>
      </c>
      <c r="J2347" s="4"/>
      <c r="K2347" s="4"/>
      <c r="L2347" s="4"/>
      <c r="M2347" s="4"/>
      <c r="N2347" s="4"/>
      <c r="O2347" s="4"/>
      <c r="P2347" s="4"/>
      <c r="Q2347" s="4"/>
    </row>
    <row r="2348">
      <c r="A2348" s="5">
        <v>2347.0</v>
      </c>
      <c r="B2348" s="5" t="s">
        <v>2860</v>
      </c>
      <c r="C2348" s="5" t="s">
        <v>69</v>
      </c>
      <c r="D2348" s="6">
        <f>IFERROR(__xludf.DUMMYFUNCTION("SPLIT(MID(C2348,2,LEN(C2348)-2), "","")"),293.0)</f>
        <v>293</v>
      </c>
      <c r="E2348" s="7"/>
      <c r="F2348" s="7"/>
      <c r="G2348" s="2" t="str">
        <f t="array" ref="G2348">IF(ISBLANK(D2348), "", INDEX(Categories!$B:$B,MATCH(D2348,Categories!$A:$A,0)))</f>
        <v>Banks Commercial</v>
      </c>
      <c r="H2348" s="7" t="str">
        <f t="array" ref="H2348">IF(ISBLANK(E2348), "", INDEX(Categories!$B:$B,MATCH(E2348,Categories!$A:$A,0)))</f>
        <v/>
      </c>
      <c r="I2348" s="7" t="str">
        <f t="array" ref="I2348">IF(ISBLANK(F2348), "", INDEX(Categories!$B:$B,MATCH(F2348,Categories!$A:$A,0)))</f>
        <v/>
      </c>
      <c r="J2348" s="4"/>
      <c r="K2348" s="4"/>
      <c r="L2348" s="4"/>
      <c r="M2348" s="4"/>
      <c r="N2348" s="4"/>
      <c r="O2348" s="4"/>
      <c r="P2348" s="4"/>
      <c r="Q2348" s="4"/>
    </row>
    <row r="2349">
      <c r="A2349" s="5">
        <v>2348.0</v>
      </c>
      <c r="B2349" s="5" t="s">
        <v>2861</v>
      </c>
      <c r="C2349" s="5" t="s">
        <v>43</v>
      </c>
      <c r="D2349" s="6">
        <f>IFERROR(__xludf.DUMMYFUNCTION("SPLIT(MID(C2349,2,LEN(C2349)-2), "","")"),292.0)</f>
        <v>292</v>
      </c>
      <c r="E2349" s="7"/>
      <c r="F2349" s="7"/>
      <c r="G2349" s="2" t="str">
        <f t="array" ref="G2349">IF(ISBLANK(D2349), "", INDEX(Categories!$B:$B,MATCH(D2349,Categories!$A:$A,0)))</f>
        <v>Banks</v>
      </c>
      <c r="H2349" s="7" t="str">
        <f t="array" ref="H2349">IF(ISBLANK(E2349), "", INDEX(Categories!$B:$B,MATCH(E2349,Categories!$A:$A,0)))</f>
        <v/>
      </c>
      <c r="I2349" s="7" t="str">
        <f t="array" ref="I2349">IF(ISBLANK(F2349), "", INDEX(Categories!$B:$B,MATCH(F2349,Categories!$A:$A,0)))</f>
        <v/>
      </c>
      <c r="J2349" s="4"/>
      <c r="K2349" s="4"/>
      <c r="L2349" s="4"/>
      <c r="M2349" s="4"/>
      <c r="N2349" s="4"/>
      <c r="O2349" s="4"/>
      <c r="P2349" s="4"/>
      <c r="Q2349" s="4"/>
    </row>
    <row r="2350">
      <c r="A2350" s="5">
        <v>2349.0</v>
      </c>
      <c r="B2350" s="5" t="s">
        <v>2862</v>
      </c>
      <c r="C2350" s="5" t="s">
        <v>34</v>
      </c>
      <c r="D2350" s="6">
        <f>IFERROR(__xludf.DUMMYFUNCTION("SPLIT(MID(C2350,2,LEN(C2350)-2), "","")"),228.0)</f>
        <v>228</v>
      </c>
      <c r="E2350" s="7"/>
      <c r="F2350" s="7"/>
      <c r="G2350" s="2" t="str">
        <f t="array" ref="G2350">IF(ISBLANK(D2350), "", INDEX(Categories!$B:$B,MATCH(D2350,Categories!$A:$A,0)))</f>
        <v>Restaurants</v>
      </c>
      <c r="H2350" s="7" t="str">
        <f t="array" ref="H2350">IF(ISBLANK(E2350), "", INDEX(Categories!$B:$B,MATCH(E2350,Categories!$A:$A,0)))</f>
        <v/>
      </c>
      <c r="I2350" s="7" t="str">
        <f t="array" ref="I2350">IF(ISBLANK(F2350), "", INDEX(Categories!$B:$B,MATCH(F2350,Categories!$A:$A,0)))</f>
        <v/>
      </c>
      <c r="J2350" s="4"/>
      <c r="K2350" s="4"/>
      <c r="L2350" s="4"/>
      <c r="M2350" s="4"/>
      <c r="N2350" s="4"/>
      <c r="O2350" s="4"/>
      <c r="P2350" s="4"/>
      <c r="Q2350" s="4"/>
    </row>
    <row r="2351">
      <c r="A2351" s="5">
        <v>2350.0</v>
      </c>
      <c r="B2351" s="5" t="s">
        <v>2863</v>
      </c>
      <c r="C2351" s="5" t="s">
        <v>109</v>
      </c>
      <c r="D2351" s="6">
        <f>IFERROR(__xludf.DUMMYFUNCTION("SPLIT(MID(C2351,2,LEN(C2351)-2), "","")"),741.0)</f>
        <v>741</v>
      </c>
      <c r="E2351" s="7"/>
      <c r="F2351" s="7"/>
      <c r="G2351" s="2" t="str">
        <f t="array" ref="G2351">IF(ISBLANK(D2351), "", INDEX(Categories!$B:$B,MATCH(D2351,Categories!$A:$A,0)))</f>
        <v>Shoes</v>
      </c>
      <c r="H2351" s="7" t="str">
        <f t="array" ref="H2351">IF(ISBLANK(E2351), "", INDEX(Categories!$B:$B,MATCH(E2351,Categories!$A:$A,0)))</f>
        <v/>
      </c>
      <c r="I2351" s="7" t="str">
        <f t="array" ref="I2351">IF(ISBLANK(F2351), "", INDEX(Categories!$B:$B,MATCH(F2351,Categories!$A:$A,0)))</f>
        <v/>
      </c>
      <c r="J2351" s="4"/>
      <c r="K2351" s="4"/>
      <c r="L2351" s="4"/>
      <c r="M2351" s="4"/>
      <c r="N2351" s="4"/>
      <c r="O2351" s="4"/>
      <c r="P2351" s="4"/>
      <c r="Q2351" s="4"/>
    </row>
    <row r="2352">
      <c r="A2352" s="5">
        <v>2351.0</v>
      </c>
      <c r="B2352" s="5" t="s">
        <v>2864</v>
      </c>
      <c r="C2352" s="5" t="s">
        <v>41</v>
      </c>
      <c r="D2352" s="6">
        <f>IFERROR(__xludf.DUMMYFUNCTION("SPLIT(MID(C2352,2,LEN(C2352)-2), "","")"),93.0)</f>
        <v>93</v>
      </c>
      <c r="E2352" s="7"/>
      <c r="F2352" s="7"/>
      <c r="G2352" s="2" t="str">
        <f t="array" ref="G2352">IF(ISBLANK(D2352), "", INDEX(Categories!$B:$B,MATCH(D2352,Categories!$A:$A,0)))</f>
        <v>Automobile - Rentals</v>
      </c>
      <c r="H2352" s="7" t="str">
        <f t="array" ref="H2352">IF(ISBLANK(E2352), "", INDEX(Categories!$B:$B,MATCH(E2352,Categories!$A:$A,0)))</f>
        <v/>
      </c>
      <c r="I2352" s="7" t="str">
        <f t="array" ref="I2352">IF(ISBLANK(F2352), "", INDEX(Categories!$B:$B,MATCH(F2352,Categories!$A:$A,0)))</f>
        <v/>
      </c>
      <c r="J2352" s="4"/>
      <c r="K2352" s="4"/>
      <c r="L2352" s="4"/>
      <c r="M2352" s="4"/>
      <c r="N2352" s="4"/>
      <c r="O2352" s="4"/>
      <c r="P2352" s="4"/>
      <c r="Q2352" s="4"/>
    </row>
    <row r="2353">
      <c r="A2353" s="5">
        <v>2352.0</v>
      </c>
      <c r="B2353" s="5" t="s">
        <v>2865</v>
      </c>
      <c r="C2353" s="5" t="s">
        <v>60</v>
      </c>
      <c r="D2353" s="6">
        <f>IFERROR(__xludf.DUMMYFUNCTION("SPLIT(MID(C2353,2,LEN(C2353)-2), "","")"),240.0)</f>
        <v>240</v>
      </c>
      <c r="E2353" s="7"/>
      <c r="F2353" s="7"/>
      <c r="G2353" s="2" t="str">
        <f t="array" ref="G2353">IF(ISBLANK(D2353), "", INDEX(Categories!$B:$B,MATCH(D2353,Categories!$A:$A,0)))</f>
        <v>Restaurants Fast Food</v>
      </c>
      <c r="H2353" s="7" t="str">
        <f t="array" ref="H2353">IF(ISBLANK(E2353), "", INDEX(Categories!$B:$B,MATCH(E2353,Categories!$A:$A,0)))</f>
        <v/>
      </c>
      <c r="I2353" s="7" t="str">
        <f t="array" ref="I2353">IF(ISBLANK(F2353), "", INDEX(Categories!$B:$B,MATCH(F2353,Categories!$A:$A,0)))</f>
        <v/>
      </c>
      <c r="J2353" s="4"/>
      <c r="K2353" s="4"/>
      <c r="L2353" s="4"/>
      <c r="M2353" s="4"/>
      <c r="N2353" s="4"/>
      <c r="O2353" s="4"/>
      <c r="P2353" s="4"/>
      <c r="Q2353" s="4"/>
    </row>
    <row r="2354">
      <c r="A2354" s="5">
        <v>2353.0</v>
      </c>
      <c r="B2354" s="5" t="s">
        <v>2866</v>
      </c>
      <c r="C2354" s="5" t="s">
        <v>69</v>
      </c>
      <c r="D2354" s="6">
        <f>IFERROR(__xludf.DUMMYFUNCTION("SPLIT(MID(C2354,2,LEN(C2354)-2), "","")"),293.0)</f>
        <v>293</v>
      </c>
      <c r="E2354" s="7"/>
      <c r="F2354" s="7"/>
      <c r="G2354" s="2" t="str">
        <f t="array" ref="G2354">IF(ISBLANK(D2354), "", INDEX(Categories!$B:$B,MATCH(D2354,Categories!$A:$A,0)))</f>
        <v>Banks Commercial</v>
      </c>
      <c r="H2354" s="7" t="str">
        <f t="array" ref="H2354">IF(ISBLANK(E2354), "", INDEX(Categories!$B:$B,MATCH(E2354,Categories!$A:$A,0)))</f>
        <v/>
      </c>
      <c r="I2354" s="7" t="str">
        <f t="array" ref="I2354">IF(ISBLANK(F2354), "", INDEX(Categories!$B:$B,MATCH(F2354,Categories!$A:$A,0)))</f>
        <v/>
      </c>
      <c r="J2354" s="4"/>
      <c r="K2354" s="4"/>
      <c r="L2354" s="4"/>
      <c r="M2354" s="4"/>
      <c r="N2354" s="4"/>
      <c r="O2354" s="4"/>
      <c r="P2354" s="4"/>
      <c r="Q2354" s="4"/>
    </row>
    <row r="2355">
      <c r="A2355" s="5">
        <v>2354.0</v>
      </c>
      <c r="B2355" s="5" t="s">
        <v>2867</v>
      </c>
      <c r="C2355" s="5" t="s">
        <v>60</v>
      </c>
      <c r="D2355" s="6">
        <f>IFERROR(__xludf.DUMMYFUNCTION("SPLIT(MID(C2355,2,LEN(C2355)-2), "","")"),240.0)</f>
        <v>240</v>
      </c>
      <c r="E2355" s="7"/>
      <c r="F2355" s="7"/>
      <c r="G2355" s="2" t="str">
        <f t="array" ref="G2355">IF(ISBLANK(D2355), "", INDEX(Categories!$B:$B,MATCH(D2355,Categories!$A:$A,0)))</f>
        <v>Restaurants Fast Food</v>
      </c>
      <c r="H2355" s="7" t="str">
        <f t="array" ref="H2355">IF(ISBLANK(E2355), "", INDEX(Categories!$B:$B,MATCH(E2355,Categories!$A:$A,0)))</f>
        <v/>
      </c>
      <c r="I2355" s="7" t="str">
        <f t="array" ref="I2355">IF(ISBLANK(F2355), "", INDEX(Categories!$B:$B,MATCH(F2355,Categories!$A:$A,0)))</f>
        <v/>
      </c>
      <c r="J2355" s="4"/>
      <c r="K2355" s="4"/>
      <c r="L2355" s="4"/>
      <c r="M2355" s="4"/>
      <c r="N2355" s="4"/>
      <c r="O2355" s="4"/>
      <c r="P2355" s="4"/>
      <c r="Q2355" s="4"/>
    </row>
    <row r="2356">
      <c r="A2356" s="5">
        <v>2355.0</v>
      </c>
      <c r="B2356" s="5" t="s">
        <v>2868</v>
      </c>
      <c r="C2356" s="5" t="s">
        <v>96</v>
      </c>
      <c r="D2356" s="6">
        <f>IFERROR(__xludf.DUMMYFUNCTION("SPLIT(MID(C2356,2,LEN(C2356)-2), "","")"),572.0)</f>
        <v>572</v>
      </c>
      <c r="E2356" s="7"/>
      <c r="F2356" s="7"/>
      <c r="G2356" s="2" t="str">
        <f t="array" ref="G2356">IF(ISBLANK(D2356), "", INDEX(Categories!$B:$B,MATCH(D2356,Categories!$A:$A,0)))</f>
        <v>Groceries</v>
      </c>
      <c r="H2356" s="7" t="str">
        <f t="array" ref="H2356">IF(ISBLANK(E2356), "", INDEX(Categories!$B:$B,MATCH(E2356,Categories!$A:$A,0)))</f>
        <v/>
      </c>
      <c r="I2356" s="7" t="str">
        <f t="array" ref="I2356">IF(ISBLANK(F2356), "", INDEX(Categories!$B:$B,MATCH(F2356,Categories!$A:$A,0)))</f>
        <v/>
      </c>
      <c r="J2356" s="4"/>
      <c r="K2356" s="4"/>
      <c r="L2356" s="4"/>
      <c r="M2356" s="4"/>
      <c r="N2356" s="4"/>
      <c r="O2356" s="4"/>
      <c r="P2356" s="4"/>
      <c r="Q2356" s="4"/>
    </row>
    <row r="2357">
      <c r="A2357" s="5">
        <v>2356.0</v>
      </c>
      <c r="B2357" s="5" t="s">
        <v>2869</v>
      </c>
      <c r="C2357" s="5" t="s">
        <v>170</v>
      </c>
      <c r="D2357" s="6">
        <f>IFERROR(__xludf.DUMMYFUNCTION("SPLIT(MID(C2357,2,LEN(C2357)-2), "","")"),189.0)</f>
        <v>189</v>
      </c>
      <c r="E2357" s="7"/>
      <c r="F2357" s="7"/>
      <c r="G2357" s="2" t="str">
        <f t="array" ref="G2357">IF(ISBLANK(D2357), "", INDEX(Categories!$B:$B,MATCH(D2357,Categories!$A:$A,0)))</f>
        <v>Pharmacies</v>
      </c>
      <c r="H2357" s="7" t="str">
        <f t="array" ref="H2357">IF(ISBLANK(E2357), "", INDEX(Categories!$B:$B,MATCH(E2357,Categories!$A:$A,0)))</f>
        <v/>
      </c>
      <c r="I2357" s="7" t="str">
        <f t="array" ref="I2357">IF(ISBLANK(F2357), "", INDEX(Categories!$B:$B,MATCH(F2357,Categories!$A:$A,0)))</f>
        <v/>
      </c>
      <c r="J2357" s="4"/>
      <c r="K2357" s="4"/>
      <c r="L2357" s="4"/>
      <c r="M2357" s="4"/>
      <c r="N2357" s="4"/>
      <c r="O2357" s="4"/>
      <c r="P2357" s="4"/>
      <c r="Q2357" s="4"/>
    </row>
    <row r="2358">
      <c r="A2358" s="5">
        <v>2357.0</v>
      </c>
      <c r="B2358" s="5" t="s">
        <v>2870</v>
      </c>
      <c r="C2358" s="5" t="s">
        <v>2049</v>
      </c>
      <c r="D2358" s="6">
        <f>IFERROR(__xludf.DUMMYFUNCTION("SPLIT(MID(C2358,2,LEN(C2358)-2), "","")"),1250.0)</f>
        <v>1250</v>
      </c>
      <c r="E2358" s="7"/>
      <c r="F2358" s="7"/>
      <c r="G2358" s="2" t="str">
        <f t="array" ref="G2358">IF(ISBLANK(D2358), "", INDEX(Categories!$B:$B,MATCH(D2358,Categories!$A:$A,0)))</f>
        <v>Designers Apparel</v>
      </c>
      <c r="H2358" s="7" t="str">
        <f t="array" ref="H2358">IF(ISBLANK(E2358), "", INDEX(Categories!$B:$B,MATCH(E2358,Categories!$A:$A,0)))</f>
        <v/>
      </c>
      <c r="I2358" s="7" t="str">
        <f t="array" ref="I2358">IF(ISBLANK(F2358), "", INDEX(Categories!$B:$B,MATCH(F2358,Categories!$A:$A,0)))</f>
        <v/>
      </c>
      <c r="J2358" s="4"/>
      <c r="K2358" s="4"/>
      <c r="L2358" s="4"/>
      <c r="M2358" s="4"/>
      <c r="N2358" s="4"/>
      <c r="O2358" s="4"/>
      <c r="P2358" s="4"/>
      <c r="Q2358" s="4"/>
    </row>
    <row r="2359">
      <c r="A2359" s="5">
        <v>2358.0</v>
      </c>
      <c r="B2359" s="5" t="s">
        <v>2871</v>
      </c>
      <c r="C2359" s="5" t="s">
        <v>423</v>
      </c>
      <c r="D2359" s="6">
        <f>IFERROR(__xludf.DUMMYFUNCTION("SPLIT(MID(C2359,2,LEN(C2359)-2), "","")"),1079.0)</f>
        <v>1079</v>
      </c>
      <c r="E2359" s="7"/>
      <c r="F2359" s="7"/>
      <c r="G2359" s="2" t="str">
        <f t="array" ref="G2359">IF(ISBLANK(D2359), "", INDEX(Categories!$B:$B,MATCH(D2359,Categories!$A:$A,0)))</f>
        <v>Rental Service Stores &amp; Yards</v>
      </c>
      <c r="H2359" s="7" t="str">
        <f t="array" ref="H2359">IF(ISBLANK(E2359), "", INDEX(Categories!$B:$B,MATCH(E2359,Categories!$A:$A,0)))</f>
        <v/>
      </c>
      <c r="I2359" s="7" t="str">
        <f t="array" ref="I2359">IF(ISBLANK(F2359), "", INDEX(Categories!$B:$B,MATCH(F2359,Categories!$A:$A,0)))</f>
        <v/>
      </c>
      <c r="J2359" s="4"/>
      <c r="K2359" s="4"/>
      <c r="L2359" s="4"/>
      <c r="M2359" s="4"/>
      <c r="N2359" s="4"/>
      <c r="O2359" s="4"/>
      <c r="P2359" s="4"/>
      <c r="Q2359" s="4"/>
    </row>
    <row r="2360">
      <c r="A2360" s="5">
        <v>2359.0</v>
      </c>
      <c r="B2360" s="5" t="s">
        <v>2872</v>
      </c>
      <c r="C2360" s="5" t="s">
        <v>371</v>
      </c>
      <c r="D2360" s="6">
        <f>IFERROR(__xludf.DUMMYFUNCTION("SPLIT(MID(C2360,2,LEN(C2360)-2), "","")"),37.0)</f>
        <v>37</v>
      </c>
      <c r="E2360" s="7"/>
      <c r="F2360" s="7"/>
      <c r="G2360" s="2" t="str">
        <f t="array" ref="G2360">IF(ISBLANK(D2360), "", INDEX(Categories!$B:$B,MATCH(D2360,Categories!$A:$A,0)))</f>
        <v>Home Furnishings</v>
      </c>
      <c r="H2360" s="7" t="str">
        <f t="array" ref="H2360">IF(ISBLANK(E2360), "", INDEX(Categories!$B:$B,MATCH(E2360,Categories!$A:$A,0)))</f>
        <v/>
      </c>
      <c r="I2360" s="7" t="str">
        <f t="array" ref="I2360">IF(ISBLANK(F2360), "", INDEX(Categories!$B:$B,MATCH(F2360,Categories!$A:$A,0)))</f>
        <v/>
      </c>
      <c r="J2360" s="4"/>
      <c r="K2360" s="4"/>
      <c r="L2360" s="4"/>
      <c r="M2360" s="4"/>
      <c r="N2360" s="4"/>
      <c r="O2360" s="4"/>
      <c r="P2360" s="4"/>
      <c r="Q2360" s="4"/>
    </row>
    <row r="2361">
      <c r="A2361" s="5">
        <v>2360.0</v>
      </c>
      <c r="B2361" s="5" t="s">
        <v>2873</v>
      </c>
      <c r="C2361" s="5" t="s">
        <v>60</v>
      </c>
      <c r="D2361" s="6">
        <f>IFERROR(__xludf.DUMMYFUNCTION("SPLIT(MID(C2361,2,LEN(C2361)-2), "","")"),240.0)</f>
        <v>240</v>
      </c>
      <c r="E2361" s="7"/>
      <c r="F2361" s="7"/>
      <c r="G2361" s="2" t="str">
        <f t="array" ref="G2361">IF(ISBLANK(D2361), "", INDEX(Categories!$B:$B,MATCH(D2361,Categories!$A:$A,0)))</f>
        <v>Restaurants Fast Food</v>
      </c>
      <c r="H2361" s="7" t="str">
        <f t="array" ref="H2361">IF(ISBLANK(E2361), "", INDEX(Categories!$B:$B,MATCH(E2361,Categories!$A:$A,0)))</f>
        <v/>
      </c>
      <c r="I2361" s="7" t="str">
        <f t="array" ref="I2361">IF(ISBLANK(F2361), "", INDEX(Categories!$B:$B,MATCH(F2361,Categories!$A:$A,0)))</f>
        <v/>
      </c>
      <c r="J2361" s="4"/>
      <c r="K2361" s="4"/>
      <c r="L2361" s="4"/>
      <c r="M2361" s="4"/>
      <c r="N2361" s="4"/>
      <c r="O2361" s="4"/>
      <c r="P2361" s="4"/>
      <c r="Q2361" s="4"/>
    </row>
    <row r="2362">
      <c r="A2362" s="5">
        <v>2361.0</v>
      </c>
      <c r="B2362" s="5" t="s">
        <v>2874</v>
      </c>
      <c r="C2362" s="5" t="s">
        <v>1158</v>
      </c>
      <c r="D2362" s="6">
        <f>IFERROR(__xludf.DUMMYFUNCTION("SPLIT(MID(C2362,2,LEN(C2362)-2), "","")"),2815.0)</f>
        <v>2815</v>
      </c>
      <c r="E2362" s="7"/>
      <c r="F2362" s="7"/>
      <c r="G2362" s="2" t="str">
        <f t="array" ref="G2362">IF(ISBLANK(D2362), "", INDEX(Categories!$B:$B,MATCH(D2362,Categories!$A:$A,0)))</f>
        <v>Hospitals, Clinics &amp; Medical Centers</v>
      </c>
      <c r="H2362" s="7" t="str">
        <f t="array" ref="H2362">IF(ISBLANK(E2362), "", INDEX(Categories!$B:$B,MATCH(E2362,Categories!$A:$A,0)))</f>
        <v/>
      </c>
      <c r="I2362" s="7" t="str">
        <f t="array" ref="I2362">IF(ISBLANK(F2362), "", INDEX(Categories!$B:$B,MATCH(F2362,Categories!$A:$A,0)))</f>
        <v/>
      </c>
      <c r="J2362" s="4"/>
      <c r="K2362" s="4"/>
      <c r="L2362" s="4"/>
      <c r="M2362" s="4"/>
      <c r="N2362" s="4"/>
      <c r="O2362" s="4"/>
      <c r="P2362" s="4"/>
      <c r="Q2362" s="4"/>
    </row>
    <row r="2363">
      <c r="A2363" s="5">
        <v>2362.0</v>
      </c>
      <c r="B2363" s="5" t="s">
        <v>2875</v>
      </c>
      <c r="C2363" s="5" t="s">
        <v>2819</v>
      </c>
      <c r="D2363" s="6">
        <f>IFERROR(__xludf.DUMMYFUNCTION("SPLIT(MID(C2363,2,LEN(C2363)-2), "","")"),2817.0)</f>
        <v>2817</v>
      </c>
      <c r="E2363" s="7"/>
      <c r="F2363" s="7"/>
      <c r="G2363" s="2" t="str">
        <f t="array" ref="G2363">IF(ISBLANK(D2363), "", INDEX(Categories!$B:$B,MATCH(D2363,Categories!$A:$A,0)))</f>
        <v>Clinics Medical</v>
      </c>
      <c r="H2363" s="7" t="str">
        <f t="array" ref="H2363">IF(ISBLANK(E2363), "", INDEX(Categories!$B:$B,MATCH(E2363,Categories!$A:$A,0)))</f>
        <v/>
      </c>
      <c r="I2363" s="7" t="str">
        <f t="array" ref="I2363">IF(ISBLANK(F2363), "", INDEX(Categories!$B:$B,MATCH(F2363,Categories!$A:$A,0)))</f>
        <v/>
      </c>
      <c r="J2363" s="4"/>
      <c r="K2363" s="4"/>
      <c r="L2363" s="4"/>
      <c r="M2363" s="4"/>
      <c r="N2363" s="4"/>
      <c r="O2363" s="4"/>
      <c r="P2363" s="4"/>
      <c r="Q2363" s="4"/>
    </row>
    <row r="2364">
      <c r="A2364" s="5">
        <v>2363.0</v>
      </c>
      <c r="B2364" s="5" t="s">
        <v>2876</v>
      </c>
      <c r="C2364" s="5" t="s">
        <v>34</v>
      </c>
      <c r="D2364" s="6">
        <f>IFERROR(__xludf.DUMMYFUNCTION("SPLIT(MID(C2364,2,LEN(C2364)-2), "","")"),228.0)</f>
        <v>228</v>
      </c>
      <c r="E2364" s="7"/>
      <c r="F2364" s="7"/>
      <c r="G2364" s="2" t="str">
        <f t="array" ref="G2364">IF(ISBLANK(D2364), "", INDEX(Categories!$B:$B,MATCH(D2364,Categories!$A:$A,0)))</f>
        <v>Restaurants</v>
      </c>
      <c r="H2364" s="7" t="str">
        <f t="array" ref="H2364">IF(ISBLANK(E2364), "", INDEX(Categories!$B:$B,MATCH(E2364,Categories!$A:$A,0)))</f>
        <v/>
      </c>
      <c r="I2364" s="7" t="str">
        <f t="array" ref="I2364">IF(ISBLANK(F2364), "", INDEX(Categories!$B:$B,MATCH(F2364,Categories!$A:$A,0)))</f>
        <v/>
      </c>
      <c r="J2364" s="4"/>
      <c r="K2364" s="4"/>
      <c r="L2364" s="4"/>
      <c r="M2364" s="4"/>
      <c r="N2364" s="4"/>
      <c r="O2364" s="4"/>
      <c r="P2364" s="4"/>
      <c r="Q2364" s="4"/>
    </row>
    <row r="2365">
      <c r="A2365" s="5">
        <v>2364.0</v>
      </c>
      <c r="B2365" s="5" t="s">
        <v>2877</v>
      </c>
      <c r="C2365" s="5" t="s">
        <v>87</v>
      </c>
      <c r="D2365" s="6">
        <f>IFERROR(__xludf.DUMMYFUNCTION("SPLIT(MID(C2365,2,LEN(C2365)-2), "","")"),168.0)</f>
        <v>168</v>
      </c>
      <c r="E2365" s="7"/>
      <c r="F2365" s="7"/>
      <c r="G2365" s="2" t="str">
        <f t="array" ref="G2365">IF(ISBLANK(D2365), "", INDEX(Categories!$B:$B,MATCH(D2365,Categories!$A:$A,0)))</f>
        <v>Hotels &amp; Motels</v>
      </c>
      <c r="H2365" s="7" t="str">
        <f t="array" ref="H2365">IF(ISBLANK(E2365), "", INDEX(Categories!$B:$B,MATCH(E2365,Categories!$A:$A,0)))</f>
        <v/>
      </c>
      <c r="I2365" s="7" t="str">
        <f t="array" ref="I2365">IF(ISBLANK(F2365), "", INDEX(Categories!$B:$B,MATCH(F2365,Categories!$A:$A,0)))</f>
        <v/>
      </c>
      <c r="J2365" s="4"/>
      <c r="K2365" s="4"/>
      <c r="L2365" s="4"/>
      <c r="M2365" s="4"/>
      <c r="N2365" s="4"/>
      <c r="O2365" s="4"/>
      <c r="P2365" s="4"/>
      <c r="Q2365" s="4"/>
    </row>
    <row r="2366">
      <c r="A2366" s="5">
        <v>2365.0</v>
      </c>
      <c r="B2366" s="5" t="s">
        <v>2878</v>
      </c>
      <c r="C2366" s="5" t="s">
        <v>274</v>
      </c>
      <c r="D2366" s="6">
        <f>IFERROR(__xludf.DUMMYFUNCTION("SPLIT(MID(C2366,2,LEN(C2366)-2), "","")"),619.0)</f>
        <v>619</v>
      </c>
      <c r="E2366" s="7"/>
      <c r="F2366" s="7"/>
      <c r="G2366" s="2" t="str">
        <f t="array" ref="G2366">IF(ISBLANK(D2366), "", INDEX(Categories!$B:$B,MATCH(D2366,Categories!$A:$A,0)))</f>
        <v>Jewelry</v>
      </c>
      <c r="H2366" s="7" t="str">
        <f t="array" ref="H2366">IF(ISBLANK(E2366), "", INDEX(Categories!$B:$B,MATCH(E2366,Categories!$A:$A,0)))</f>
        <v/>
      </c>
      <c r="I2366" s="7" t="str">
        <f t="array" ref="I2366">IF(ISBLANK(F2366), "", INDEX(Categories!$B:$B,MATCH(F2366,Categories!$A:$A,0)))</f>
        <v/>
      </c>
      <c r="J2366" s="4"/>
      <c r="K2366" s="4"/>
      <c r="L2366" s="4"/>
      <c r="M2366" s="4"/>
      <c r="N2366" s="4"/>
      <c r="O2366" s="4"/>
      <c r="P2366" s="4"/>
      <c r="Q2366" s="4"/>
    </row>
    <row r="2367">
      <c r="A2367" s="5">
        <v>2366.0</v>
      </c>
      <c r="B2367" s="5" t="s">
        <v>2879</v>
      </c>
      <c r="C2367" s="5" t="s">
        <v>303</v>
      </c>
      <c r="D2367" s="6">
        <f>IFERROR(__xludf.DUMMYFUNCTION("SPLIT(MID(C2367,2,LEN(C2367)-2), "","")"),1241.0)</f>
        <v>1241</v>
      </c>
      <c r="E2367" s="7"/>
      <c r="F2367" s="7"/>
      <c r="G2367" s="2" t="str">
        <f t="array" ref="G2367">IF(ISBLANK(D2367), "", INDEX(Categories!$B:$B,MATCH(D2367,Categories!$A:$A,0)))</f>
        <v>Clothing &amp; Accessories</v>
      </c>
      <c r="H2367" s="7" t="str">
        <f t="array" ref="H2367">IF(ISBLANK(E2367), "", INDEX(Categories!$B:$B,MATCH(E2367,Categories!$A:$A,0)))</f>
        <v/>
      </c>
      <c r="I2367" s="7" t="str">
        <f t="array" ref="I2367">IF(ISBLANK(F2367), "", INDEX(Categories!$B:$B,MATCH(F2367,Categories!$A:$A,0)))</f>
        <v/>
      </c>
      <c r="J2367" s="4"/>
      <c r="K2367" s="4"/>
      <c r="L2367" s="4"/>
      <c r="M2367" s="4"/>
      <c r="N2367" s="4"/>
      <c r="O2367" s="4"/>
      <c r="P2367" s="4"/>
      <c r="Q2367" s="4"/>
    </row>
    <row r="2368">
      <c r="A2368" s="5">
        <v>2367.0</v>
      </c>
      <c r="B2368" s="5" t="s">
        <v>2880</v>
      </c>
      <c r="C2368" s="5" t="s">
        <v>12</v>
      </c>
      <c r="D2368" s="6">
        <f>IFERROR(__xludf.DUMMYFUNCTION("SPLIT(MID(C2368,2,LEN(C2368)-2), "","")"),469.0)</f>
        <v>469</v>
      </c>
      <c r="E2368" s="7"/>
      <c r="F2368" s="7"/>
      <c r="G2368" s="2" t="str">
        <f t="array" ref="G2368">IF(ISBLANK(D2368), "", INDEX(Categories!$B:$B,MATCH(D2368,Categories!$A:$A,0)))</f>
        <v>Automobile - Repairs &amp; Services</v>
      </c>
      <c r="H2368" s="7" t="str">
        <f t="array" ref="H2368">IF(ISBLANK(E2368), "", INDEX(Categories!$B:$B,MATCH(E2368,Categories!$A:$A,0)))</f>
        <v/>
      </c>
      <c r="I2368" s="7" t="str">
        <f t="array" ref="I2368">IF(ISBLANK(F2368), "", INDEX(Categories!$B:$B,MATCH(F2368,Categories!$A:$A,0)))</f>
        <v/>
      </c>
      <c r="J2368" s="4"/>
      <c r="K2368" s="4"/>
      <c r="L2368" s="4"/>
      <c r="M2368" s="4"/>
      <c r="N2368" s="4"/>
      <c r="O2368" s="4"/>
      <c r="P2368" s="4"/>
      <c r="Q2368" s="4"/>
    </row>
    <row r="2369">
      <c r="A2369" s="5">
        <v>2368.0</v>
      </c>
      <c r="B2369" s="5" t="s">
        <v>2881</v>
      </c>
      <c r="C2369" s="5" t="s">
        <v>87</v>
      </c>
      <c r="D2369" s="6">
        <f>IFERROR(__xludf.DUMMYFUNCTION("SPLIT(MID(C2369,2,LEN(C2369)-2), "","")"),168.0)</f>
        <v>168</v>
      </c>
      <c r="E2369" s="7"/>
      <c r="F2369" s="7"/>
      <c r="G2369" s="2" t="str">
        <f t="array" ref="G2369">IF(ISBLANK(D2369), "", INDEX(Categories!$B:$B,MATCH(D2369,Categories!$A:$A,0)))</f>
        <v>Hotels &amp; Motels</v>
      </c>
      <c r="H2369" s="7" t="str">
        <f t="array" ref="H2369">IF(ISBLANK(E2369), "", INDEX(Categories!$B:$B,MATCH(E2369,Categories!$A:$A,0)))</f>
        <v/>
      </c>
      <c r="I2369" s="7" t="str">
        <f t="array" ref="I2369">IF(ISBLANK(F2369), "", INDEX(Categories!$B:$B,MATCH(F2369,Categories!$A:$A,0)))</f>
        <v/>
      </c>
      <c r="J2369" s="4"/>
      <c r="K2369" s="4"/>
      <c r="L2369" s="4"/>
      <c r="M2369" s="4"/>
      <c r="N2369" s="4"/>
      <c r="O2369" s="4"/>
      <c r="P2369" s="4"/>
      <c r="Q2369" s="4"/>
    </row>
    <row r="2370">
      <c r="A2370" s="5">
        <v>2369.0</v>
      </c>
      <c r="B2370" s="5" t="s">
        <v>2882</v>
      </c>
      <c r="C2370" s="5" t="s">
        <v>87</v>
      </c>
      <c r="D2370" s="6">
        <f>IFERROR(__xludf.DUMMYFUNCTION("SPLIT(MID(C2370,2,LEN(C2370)-2), "","")"),168.0)</f>
        <v>168</v>
      </c>
      <c r="E2370" s="7"/>
      <c r="F2370" s="7"/>
      <c r="G2370" s="2" t="str">
        <f t="array" ref="G2370">IF(ISBLANK(D2370), "", INDEX(Categories!$B:$B,MATCH(D2370,Categories!$A:$A,0)))</f>
        <v>Hotels &amp; Motels</v>
      </c>
      <c r="H2370" s="7" t="str">
        <f t="array" ref="H2370">IF(ISBLANK(E2370), "", INDEX(Categories!$B:$B,MATCH(E2370,Categories!$A:$A,0)))</f>
        <v/>
      </c>
      <c r="I2370" s="7" t="str">
        <f t="array" ref="I2370">IF(ISBLANK(F2370), "", INDEX(Categories!$B:$B,MATCH(F2370,Categories!$A:$A,0)))</f>
        <v/>
      </c>
      <c r="J2370" s="4"/>
      <c r="K2370" s="4"/>
      <c r="L2370" s="4"/>
      <c r="M2370" s="4"/>
      <c r="N2370" s="4"/>
      <c r="O2370" s="4"/>
      <c r="P2370" s="4"/>
      <c r="Q2370" s="4"/>
    </row>
    <row r="2371">
      <c r="A2371" s="5">
        <v>2370.0</v>
      </c>
      <c r="B2371" s="5" t="s">
        <v>2883</v>
      </c>
      <c r="C2371" s="5" t="s">
        <v>303</v>
      </c>
      <c r="D2371" s="6">
        <f>IFERROR(__xludf.DUMMYFUNCTION("SPLIT(MID(C2371,2,LEN(C2371)-2), "","")"),1241.0)</f>
        <v>1241</v>
      </c>
      <c r="E2371" s="7"/>
      <c r="F2371" s="7"/>
      <c r="G2371" s="2" t="str">
        <f t="array" ref="G2371">IF(ISBLANK(D2371), "", INDEX(Categories!$B:$B,MATCH(D2371,Categories!$A:$A,0)))</f>
        <v>Clothing &amp; Accessories</v>
      </c>
      <c r="H2371" s="7" t="str">
        <f t="array" ref="H2371">IF(ISBLANK(E2371), "", INDEX(Categories!$B:$B,MATCH(E2371,Categories!$A:$A,0)))</f>
        <v/>
      </c>
      <c r="I2371" s="7" t="str">
        <f t="array" ref="I2371">IF(ISBLANK(F2371), "", INDEX(Categories!$B:$B,MATCH(F2371,Categories!$A:$A,0)))</f>
        <v/>
      </c>
      <c r="J2371" s="4"/>
      <c r="K2371" s="4"/>
      <c r="L2371" s="4"/>
      <c r="M2371" s="4"/>
      <c r="N2371" s="4"/>
      <c r="O2371" s="4"/>
      <c r="P2371" s="4"/>
      <c r="Q2371" s="4"/>
    </row>
    <row r="2372">
      <c r="A2372" s="5">
        <v>2371.0</v>
      </c>
      <c r="B2372" s="5" t="s">
        <v>2884</v>
      </c>
      <c r="C2372" s="5" t="s">
        <v>87</v>
      </c>
      <c r="D2372" s="6">
        <f>IFERROR(__xludf.DUMMYFUNCTION("SPLIT(MID(C2372,2,LEN(C2372)-2), "","")"),168.0)</f>
        <v>168</v>
      </c>
      <c r="E2372" s="7"/>
      <c r="F2372" s="7"/>
      <c r="G2372" s="2" t="str">
        <f t="array" ref="G2372">IF(ISBLANK(D2372), "", INDEX(Categories!$B:$B,MATCH(D2372,Categories!$A:$A,0)))</f>
        <v>Hotels &amp; Motels</v>
      </c>
      <c r="H2372" s="7" t="str">
        <f t="array" ref="H2372">IF(ISBLANK(E2372), "", INDEX(Categories!$B:$B,MATCH(E2372,Categories!$A:$A,0)))</f>
        <v/>
      </c>
      <c r="I2372" s="7" t="str">
        <f t="array" ref="I2372">IF(ISBLANK(F2372), "", INDEX(Categories!$B:$B,MATCH(F2372,Categories!$A:$A,0)))</f>
        <v/>
      </c>
      <c r="J2372" s="4"/>
      <c r="K2372" s="4"/>
      <c r="L2372" s="4"/>
      <c r="M2372" s="4"/>
      <c r="N2372" s="4"/>
      <c r="O2372" s="4"/>
      <c r="P2372" s="4"/>
      <c r="Q2372" s="4"/>
    </row>
    <row r="2373">
      <c r="A2373" s="5">
        <v>2372.0</v>
      </c>
      <c r="B2373" s="5" t="s">
        <v>2885</v>
      </c>
      <c r="C2373" s="5" t="s">
        <v>12</v>
      </c>
      <c r="D2373" s="6">
        <f>IFERROR(__xludf.DUMMYFUNCTION("SPLIT(MID(C2373,2,LEN(C2373)-2), "","")"),469.0)</f>
        <v>469</v>
      </c>
      <c r="E2373" s="7"/>
      <c r="F2373" s="7"/>
      <c r="G2373" s="2" t="str">
        <f t="array" ref="G2373">IF(ISBLANK(D2373), "", INDEX(Categories!$B:$B,MATCH(D2373,Categories!$A:$A,0)))</f>
        <v>Automobile - Repairs &amp; Services</v>
      </c>
      <c r="H2373" s="7" t="str">
        <f t="array" ref="H2373">IF(ISBLANK(E2373), "", INDEX(Categories!$B:$B,MATCH(E2373,Categories!$A:$A,0)))</f>
        <v/>
      </c>
      <c r="I2373" s="7" t="str">
        <f t="array" ref="I2373">IF(ISBLANK(F2373), "", INDEX(Categories!$B:$B,MATCH(F2373,Categories!$A:$A,0)))</f>
        <v/>
      </c>
      <c r="J2373" s="4"/>
      <c r="K2373" s="4"/>
      <c r="L2373" s="4"/>
      <c r="M2373" s="4"/>
      <c r="N2373" s="4"/>
      <c r="O2373" s="4"/>
      <c r="P2373" s="4"/>
      <c r="Q2373" s="4"/>
    </row>
    <row r="2374">
      <c r="A2374" s="5">
        <v>2373.0</v>
      </c>
      <c r="B2374" s="5" t="s">
        <v>2886</v>
      </c>
      <c r="C2374" s="5" t="s">
        <v>87</v>
      </c>
      <c r="D2374" s="6">
        <f>IFERROR(__xludf.DUMMYFUNCTION("SPLIT(MID(C2374,2,LEN(C2374)-2), "","")"),168.0)</f>
        <v>168</v>
      </c>
      <c r="E2374" s="7"/>
      <c r="F2374" s="7"/>
      <c r="G2374" s="2" t="str">
        <f t="array" ref="G2374">IF(ISBLANK(D2374), "", INDEX(Categories!$B:$B,MATCH(D2374,Categories!$A:$A,0)))</f>
        <v>Hotels &amp; Motels</v>
      </c>
      <c r="H2374" s="7" t="str">
        <f t="array" ref="H2374">IF(ISBLANK(E2374), "", INDEX(Categories!$B:$B,MATCH(E2374,Categories!$A:$A,0)))</f>
        <v/>
      </c>
      <c r="I2374" s="7" t="str">
        <f t="array" ref="I2374">IF(ISBLANK(F2374), "", INDEX(Categories!$B:$B,MATCH(F2374,Categories!$A:$A,0)))</f>
        <v/>
      </c>
      <c r="J2374" s="4"/>
      <c r="K2374" s="4"/>
      <c r="L2374" s="4"/>
      <c r="M2374" s="4"/>
      <c r="N2374" s="4"/>
      <c r="O2374" s="4"/>
      <c r="P2374" s="4"/>
      <c r="Q2374" s="4"/>
    </row>
    <row r="2375">
      <c r="A2375" s="5">
        <v>2374.0</v>
      </c>
      <c r="B2375" s="5" t="s">
        <v>2887</v>
      </c>
      <c r="C2375" s="5" t="s">
        <v>1170</v>
      </c>
      <c r="D2375" s="6">
        <f>IFERROR(__xludf.DUMMYFUNCTION("SPLIT(MID(C2375,2,LEN(C2375)-2), "","")"),1783.0)</f>
        <v>1783</v>
      </c>
      <c r="E2375" s="7"/>
      <c r="F2375" s="7"/>
      <c r="G2375" s="2" t="str">
        <f t="array" ref="G2375">IF(ISBLANK(D2375), "", INDEX(Categories!$B:$B,MATCH(D2375,Categories!$A:$A,0)))</f>
        <v>Legal Services</v>
      </c>
      <c r="H2375" s="7" t="str">
        <f t="array" ref="H2375">IF(ISBLANK(E2375), "", INDEX(Categories!$B:$B,MATCH(E2375,Categories!$A:$A,0)))</f>
        <v/>
      </c>
      <c r="I2375" s="7" t="str">
        <f t="array" ref="I2375">IF(ISBLANK(F2375), "", INDEX(Categories!$B:$B,MATCH(F2375,Categories!$A:$A,0)))</f>
        <v/>
      </c>
      <c r="J2375" s="4"/>
      <c r="K2375" s="4"/>
      <c r="L2375" s="4"/>
      <c r="M2375" s="4"/>
      <c r="N2375" s="4"/>
      <c r="O2375" s="4"/>
      <c r="P2375" s="4"/>
      <c r="Q2375" s="4"/>
    </row>
    <row r="2376">
      <c r="A2376" s="5">
        <v>2375.0</v>
      </c>
      <c r="B2376" s="5" t="s">
        <v>2888</v>
      </c>
      <c r="C2376" s="5" t="s">
        <v>69</v>
      </c>
      <c r="D2376" s="6">
        <f>IFERROR(__xludf.DUMMYFUNCTION("SPLIT(MID(C2376,2,LEN(C2376)-2), "","")"),293.0)</f>
        <v>293</v>
      </c>
      <c r="E2376" s="7"/>
      <c r="F2376" s="7"/>
      <c r="G2376" s="2" t="str">
        <f t="array" ref="G2376">IF(ISBLANK(D2376), "", INDEX(Categories!$B:$B,MATCH(D2376,Categories!$A:$A,0)))</f>
        <v>Banks Commercial</v>
      </c>
      <c r="H2376" s="7" t="str">
        <f t="array" ref="H2376">IF(ISBLANK(E2376), "", INDEX(Categories!$B:$B,MATCH(E2376,Categories!$A:$A,0)))</f>
        <v/>
      </c>
      <c r="I2376" s="7" t="str">
        <f t="array" ref="I2376">IF(ISBLANK(F2376), "", INDEX(Categories!$B:$B,MATCH(F2376,Categories!$A:$A,0)))</f>
        <v/>
      </c>
      <c r="J2376" s="4"/>
      <c r="K2376" s="4"/>
      <c r="L2376" s="4"/>
      <c r="M2376" s="4"/>
      <c r="N2376" s="4"/>
      <c r="O2376" s="4"/>
      <c r="P2376" s="4"/>
      <c r="Q2376" s="4"/>
    </row>
    <row r="2377">
      <c r="A2377" s="5">
        <v>2376.0</v>
      </c>
      <c r="B2377" s="5" t="s">
        <v>2889</v>
      </c>
      <c r="C2377" s="5" t="s">
        <v>34</v>
      </c>
      <c r="D2377" s="6">
        <f>IFERROR(__xludf.DUMMYFUNCTION("SPLIT(MID(C2377,2,LEN(C2377)-2), "","")"),228.0)</f>
        <v>228</v>
      </c>
      <c r="E2377" s="7"/>
      <c r="F2377" s="7"/>
      <c r="G2377" s="2" t="str">
        <f t="array" ref="G2377">IF(ISBLANK(D2377), "", INDEX(Categories!$B:$B,MATCH(D2377,Categories!$A:$A,0)))</f>
        <v>Restaurants</v>
      </c>
      <c r="H2377" s="7" t="str">
        <f t="array" ref="H2377">IF(ISBLANK(E2377), "", INDEX(Categories!$B:$B,MATCH(E2377,Categories!$A:$A,0)))</f>
        <v/>
      </c>
      <c r="I2377" s="7" t="str">
        <f t="array" ref="I2377">IF(ISBLANK(F2377), "", INDEX(Categories!$B:$B,MATCH(F2377,Categories!$A:$A,0)))</f>
        <v/>
      </c>
      <c r="J2377" s="4"/>
      <c r="K2377" s="4"/>
      <c r="L2377" s="4"/>
      <c r="M2377" s="4"/>
      <c r="N2377" s="4"/>
      <c r="O2377" s="4"/>
      <c r="P2377" s="4"/>
      <c r="Q2377" s="4"/>
    </row>
    <row r="2378">
      <c r="A2378" s="5">
        <v>2377.0</v>
      </c>
      <c r="B2378" s="5" t="s">
        <v>2890</v>
      </c>
      <c r="C2378" s="5" t="s">
        <v>69</v>
      </c>
      <c r="D2378" s="6">
        <f>IFERROR(__xludf.DUMMYFUNCTION("SPLIT(MID(C2378,2,LEN(C2378)-2), "","")"),293.0)</f>
        <v>293</v>
      </c>
      <c r="E2378" s="7"/>
      <c r="F2378" s="7"/>
      <c r="G2378" s="2" t="str">
        <f t="array" ref="G2378">IF(ISBLANK(D2378), "", INDEX(Categories!$B:$B,MATCH(D2378,Categories!$A:$A,0)))</f>
        <v>Banks Commercial</v>
      </c>
      <c r="H2378" s="7" t="str">
        <f t="array" ref="H2378">IF(ISBLANK(E2378), "", INDEX(Categories!$B:$B,MATCH(E2378,Categories!$A:$A,0)))</f>
        <v/>
      </c>
      <c r="I2378" s="7" t="str">
        <f t="array" ref="I2378">IF(ISBLANK(F2378), "", INDEX(Categories!$B:$B,MATCH(F2378,Categories!$A:$A,0)))</f>
        <v/>
      </c>
      <c r="J2378" s="4"/>
      <c r="K2378" s="4"/>
      <c r="L2378" s="4"/>
      <c r="M2378" s="4"/>
      <c r="N2378" s="4"/>
      <c r="O2378" s="4"/>
      <c r="P2378" s="4"/>
      <c r="Q2378" s="4"/>
    </row>
    <row r="2379">
      <c r="A2379" s="5">
        <v>2378.0</v>
      </c>
      <c r="B2379" s="5" t="s">
        <v>2891</v>
      </c>
      <c r="C2379" s="5" t="s">
        <v>69</v>
      </c>
      <c r="D2379" s="6">
        <f>IFERROR(__xludf.DUMMYFUNCTION("SPLIT(MID(C2379,2,LEN(C2379)-2), "","")"),293.0)</f>
        <v>293</v>
      </c>
      <c r="E2379" s="7"/>
      <c r="F2379" s="7"/>
      <c r="G2379" s="2" t="str">
        <f t="array" ref="G2379">IF(ISBLANK(D2379), "", INDEX(Categories!$B:$B,MATCH(D2379,Categories!$A:$A,0)))</f>
        <v>Banks Commercial</v>
      </c>
      <c r="H2379" s="7" t="str">
        <f t="array" ref="H2379">IF(ISBLANK(E2379), "", INDEX(Categories!$B:$B,MATCH(E2379,Categories!$A:$A,0)))</f>
        <v/>
      </c>
      <c r="I2379" s="7" t="str">
        <f t="array" ref="I2379">IF(ISBLANK(F2379), "", INDEX(Categories!$B:$B,MATCH(F2379,Categories!$A:$A,0)))</f>
        <v/>
      </c>
      <c r="J2379" s="4"/>
      <c r="K2379" s="4"/>
      <c r="L2379" s="4"/>
      <c r="M2379" s="4"/>
      <c r="N2379" s="4"/>
      <c r="O2379" s="4"/>
      <c r="P2379" s="4"/>
      <c r="Q2379" s="4"/>
    </row>
    <row r="2380">
      <c r="A2380" s="5">
        <v>2379.0</v>
      </c>
      <c r="B2380" s="5" t="s">
        <v>2892</v>
      </c>
      <c r="C2380" s="5" t="s">
        <v>1158</v>
      </c>
      <c r="D2380" s="6">
        <f>IFERROR(__xludf.DUMMYFUNCTION("SPLIT(MID(C2380,2,LEN(C2380)-2), "","")"),2815.0)</f>
        <v>2815</v>
      </c>
      <c r="E2380" s="7"/>
      <c r="F2380" s="7"/>
      <c r="G2380" s="2" t="str">
        <f t="array" ref="G2380">IF(ISBLANK(D2380), "", INDEX(Categories!$B:$B,MATCH(D2380,Categories!$A:$A,0)))</f>
        <v>Hospitals, Clinics &amp; Medical Centers</v>
      </c>
      <c r="H2380" s="7" t="str">
        <f t="array" ref="H2380">IF(ISBLANK(E2380), "", INDEX(Categories!$B:$B,MATCH(E2380,Categories!$A:$A,0)))</f>
        <v/>
      </c>
      <c r="I2380" s="7" t="str">
        <f t="array" ref="I2380">IF(ISBLANK(F2380), "", INDEX(Categories!$B:$B,MATCH(F2380,Categories!$A:$A,0)))</f>
        <v/>
      </c>
      <c r="J2380" s="4"/>
      <c r="K2380" s="4"/>
      <c r="L2380" s="4"/>
      <c r="M2380" s="4"/>
      <c r="N2380" s="4"/>
      <c r="O2380" s="4"/>
      <c r="P2380" s="4"/>
      <c r="Q2380" s="4"/>
    </row>
    <row r="2381">
      <c r="A2381" s="5">
        <v>2380.0</v>
      </c>
      <c r="B2381" s="5" t="s">
        <v>2893</v>
      </c>
      <c r="C2381" s="5" t="s">
        <v>2819</v>
      </c>
      <c r="D2381" s="6">
        <f>IFERROR(__xludf.DUMMYFUNCTION("SPLIT(MID(C2381,2,LEN(C2381)-2), "","")"),2817.0)</f>
        <v>2817</v>
      </c>
      <c r="E2381" s="7"/>
      <c r="F2381" s="7"/>
      <c r="G2381" s="2" t="str">
        <f t="array" ref="G2381">IF(ISBLANK(D2381), "", INDEX(Categories!$B:$B,MATCH(D2381,Categories!$A:$A,0)))</f>
        <v>Clinics Medical</v>
      </c>
      <c r="H2381" s="7" t="str">
        <f t="array" ref="H2381">IF(ISBLANK(E2381), "", INDEX(Categories!$B:$B,MATCH(E2381,Categories!$A:$A,0)))</f>
        <v/>
      </c>
      <c r="I2381" s="7" t="str">
        <f t="array" ref="I2381">IF(ISBLANK(F2381), "", INDEX(Categories!$B:$B,MATCH(F2381,Categories!$A:$A,0)))</f>
        <v/>
      </c>
      <c r="J2381" s="4"/>
      <c r="K2381" s="4"/>
      <c r="L2381" s="4"/>
      <c r="M2381" s="4"/>
      <c r="N2381" s="4"/>
      <c r="O2381" s="4"/>
      <c r="P2381" s="4"/>
      <c r="Q2381" s="4"/>
    </row>
    <row r="2382">
      <c r="A2382" s="5">
        <v>2381.0</v>
      </c>
      <c r="B2382" s="5" t="s">
        <v>2894</v>
      </c>
      <c r="C2382" s="5" t="s">
        <v>303</v>
      </c>
      <c r="D2382" s="6">
        <f>IFERROR(__xludf.DUMMYFUNCTION("SPLIT(MID(C2382,2,LEN(C2382)-2), "","")"),1241.0)</f>
        <v>1241</v>
      </c>
      <c r="E2382" s="7"/>
      <c r="F2382" s="7"/>
      <c r="G2382" s="2" t="str">
        <f t="array" ref="G2382">IF(ISBLANK(D2382), "", INDEX(Categories!$B:$B,MATCH(D2382,Categories!$A:$A,0)))</f>
        <v>Clothing &amp; Accessories</v>
      </c>
      <c r="H2382" s="7" t="str">
        <f t="array" ref="H2382">IF(ISBLANK(E2382), "", INDEX(Categories!$B:$B,MATCH(E2382,Categories!$A:$A,0)))</f>
        <v/>
      </c>
      <c r="I2382" s="7" t="str">
        <f t="array" ref="I2382">IF(ISBLANK(F2382), "", INDEX(Categories!$B:$B,MATCH(F2382,Categories!$A:$A,0)))</f>
        <v/>
      </c>
      <c r="J2382" s="4"/>
      <c r="K2382" s="4"/>
      <c r="L2382" s="4"/>
      <c r="M2382" s="4"/>
      <c r="N2382" s="4"/>
      <c r="O2382" s="4"/>
      <c r="P2382" s="4"/>
      <c r="Q2382" s="4"/>
    </row>
    <row r="2383">
      <c r="A2383" s="5">
        <v>2382.0</v>
      </c>
      <c r="B2383" s="5" t="s">
        <v>2895</v>
      </c>
      <c r="C2383" s="5" t="s">
        <v>69</v>
      </c>
      <c r="D2383" s="6">
        <f>IFERROR(__xludf.DUMMYFUNCTION("SPLIT(MID(C2383,2,LEN(C2383)-2), "","")"),293.0)</f>
        <v>293</v>
      </c>
      <c r="E2383" s="7"/>
      <c r="F2383" s="7"/>
      <c r="G2383" s="2" t="str">
        <f t="array" ref="G2383">IF(ISBLANK(D2383), "", INDEX(Categories!$B:$B,MATCH(D2383,Categories!$A:$A,0)))</f>
        <v>Banks Commercial</v>
      </c>
      <c r="H2383" s="7" t="str">
        <f t="array" ref="H2383">IF(ISBLANK(E2383), "", INDEX(Categories!$B:$B,MATCH(E2383,Categories!$A:$A,0)))</f>
        <v/>
      </c>
      <c r="I2383" s="7" t="str">
        <f t="array" ref="I2383">IF(ISBLANK(F2383), "", INDEX(Categories!$B:$B,MATCH(F2383,Categories!$A:$A,0)))</f>
        <v/>
      </c>
      <c r="J2383" s="4"/>
      <c r="K2383" s="4"/>
      <c r="L2383" s="4"/>
      <c r="M2383" s="4"/>
      <c r="N2383" s="4"/>
      <c r="O2383" s="4"/>
      <c r="P2383" s="4"/>
      <c r="Q2383" s="4"/>
    </row>
    <row r="2384">
      <c r="A2384" s="5">
        <v>2383.0</v>
      </c>
      <c r="B2384" s="5" t="s">
        <v>2896</v>
      </c>
      <c r="C2384" s="5" t="s">
        <v>96</v>
      </c>
      <c r="D2384" s="6">
        <f>IFERROR(__xludf.DUMMYFUNCTION("SPLIT(MID(C2384,2,LEN(C2384)-2), "","")"),572.0)</f>
        <v>572</v>
      </c>
      <c r="E2384" s="7"/>
      <c r="F2384" s="7"/>
      <c r="G2384" s="2" t="str">
        <f t="array" ref="G2384">IF(ISBLANK(D2384), "", INDEX(Categories!$B:$B,MATCH(D2384,Categories!$A:$A,0)))</f>
        <v>Groceries</v>
      </c>
      <c r="H2384" s="7" t="str">
        <f t="array" ref="H2384">IF(ISBLANK(E2384), "", INDEX(Categories!$B:$B,MATCH(E2384,Categories!$A:$A,0)))</f>
        <v/>
      </c>
      <c r="I2384" s="7" t="str">
        <f t="array" ref="I2384">IF(ISBLANK(F2384), "", INDEX(Categories!$B:$B,MATCH(F2384,Categories!$A:$A,0)))</f>
        <v/>
      </c>
      <c r="J2384" s="4"/>
      <c r="K2384" s="4"/>
      <c r="L2384" s="4"/>
      <c r="M2384" s="4"/>
      <c r="N2384" s="4"/>
      <c r="O2384" s="4"/>
      <c r="P2384" s="4"/>
      <c r="Q2384" s="4"/>
    </row>
    <row r="2385">
      <c r="A2385" s="5">
        <v>2384.0</v>
      </c>
      <c r="B2385" s="5" t="s">
        <v>2897</v>
      </c>
      <c r="C2385" s="5" t="s">
        <v>2819</v>
      </c>
      <c r="D2385" s="6">
        <f>IFERROR(__xludf.DUMMYFUNCTION("SPLIT(MID(C2385,2,LEN(C2385)-2), "","")"),2817.0)</f>
        <v>2817</v>
      </c>
      <c r="E2385" s="7"/>
      <c r="F2385" s="7"/>
      <c r="G2385" s="2" t="str">
        <f t="array" ref="G2385">IF(ISBLANK(D2385), "", INDEX(Categories!$B:$B,MATCH(D2385,Categories!$A:$A,0)))</f>
        <v>Clinics Medical</v>
      </c>
      <c r="H2385" s="7" t="str">
        <f t="array" ref="H2385">IF(ISBLANK(E2385), "", INDEX(Categories!$B:$B,MATCH(E2385,Categories!$A:$A,0)))</f>
        <v/>
      </c>
      <c r="I2385" s="7" t="str">
        <f t="array" ref="I2385">IF(ISBLANK(F2385), "", INDEX(Categories!$B:$B,MATCH(F2385,Categories!$A:$A,0)))</f>
        <v/>
      </c>
      <c r="J2385" s="4"/>
      <c r="K2385" s="4"/>
      <c r="L2385" s="4"/>
      <c r="M2385" s="4"/>
      <c r="N2385" s="4"/>
      <c r="O2385" s="4"/>
      <c r="P2385" s="4"/>
      <c r="Q2385" s="4"/>
    </row>
    <row r="2386">
      <c r="A2386" s="5">
        <v>2385.0</v>
      </c>
      <c r="B2386" s="5" t="s">
        <v>2898</v>
      </c>
      <c r="C2386" s="5" t="s">
        <v>1158</v>
      </c>
      <c r="D2386" s="6">
        <f>IFERROR(__xludf.DUMMYFUNCTION("SPLIT(MID(C2386,2,LEN(C2386)-2), "","")"),2815.0)</f>
        <v>2815</v>
      </c>
      <c r="E2386" s="7"/>
      <c r="F2386" s="7"/>
      <c r="G2386" s="2" t="str">
        <f t="array" ref="G2386">IF(ISBLANK(D2386), "", INDEX(Categories!$B:$B,MATCH(D2386,Categories!$A:$A,0)))</f>
        <v>Hospitals, Clinics &amp; Medical Centers</v>
      </c>
      <c r="H2386" s="7" t="str">
        <f t="array" ref="H2386">IF(ISBLANK(E2386), "", INDEX(Categories!$B:$B,MATCH(E2386,Categories!$A:$A,0)))</f>
        <v/>
      </c>
      <c r="I2386" s="7" t="str">
        <f t="array" ref="I2386">IF(ISBLANK(F2386), "", INDEX(Categories!$B:$B,MATCH(F2386,Categories!$A:$A,0)))</f>
        <v/>
      </c>
      <c r="J2386" s="4"/>
      <c r="K2386" s="4"/>
      <c r="L2386" s="4"/>
      <c r="M2386" s="4"/>
      <c r="N2386" s="4"/>
      <c r="O2386" s="4"/>
      <c r="P2386" s="4"/>
      <c r="Q2386" s="4"/>
    </row>
    <row r="2387">
      <c r="A2387" s="5">
        <v>2386.0</v>
      </c>
      <c r="B2387" s="5" t="s">
        <v>2899</v>
      </c>
      <c r="C2387" s="5" t="s">
        <v>69</v>
      </c>
      <c r="D2387" s="6">
        <f>IFERROR(__xludf.DUMMYFUNCTION("SPLIT(MID(C2387,2,LEN(C2387)-2), "","")"),293.0)</f>
        <v>293</v>
      </c>
      <c r="E2387" s="7"/>
      <c r="F2387" s="7"/>
      <c r="G2387" s="2" t="str">
        <f t="array" ref="G2387">IF(ISBLANK(D2387), "", INDEX(Categories!$B:$B,MATCH(D2387,Categories!$A:$A,0)))</f>
        <v>Banks Commercial</v>
      </c>
      <c r="H2387" s="7" t="str">
        <f t="array" ref="H2387">IF(ISBLANK(E2387), "", INDEX(Categories!$B:$B,MATCH(E2387,Categories!$A:$A,0)))</f>
        <v/>
      </c>
      <c r="I2387" s="7" t="str">
        <f t="array" ref="I2387">IF(ISBLANK(F2387), "", INDEX(Categories!$B:$B,MATCH(F2387,Categories!$A:$A,0)))</f>
        <v/>
      </c>
      <c r="J2387" s="4"/>
      <c r="K2387" s="4"/>
      <c r="L2387" s="4"/>
      <c r="M2387" s="4"/>
      <c r="N2387" s="4"/>
      <c r="O2387" s="4"/>
      <c r="P2387" s="4"/>
      <c r="Q2387" s="4"/>
    </row>
    <row r="2388">
      <c r="A2388" s="5">
        <v>2387.0</v>
      </c>
      <c r="B2388" s="5" t="s">
        <v>2900</v>
      </c>
      <c r="C2388" s="5" t="s">
        <v>801</v>
      </c>
      <c r="D2388" s="6">
        <f>IFERROR(__xludf.DUMMYFUNCTION("SPLIT(MID(C2388,2,LEN(C2388)-2), "","")"),1886.0)</f>
        <v>1886</v>
      </c>
      <c r="E2388" s="7"/>
      <c r="F2388" s="7"/>
      <c r="G2388" s="2" t="str">
        <f t="array" ref="G2388">IF(ISBLANK(D2388), "", INDEX(Categories!$B:$B,MATCH(D2388,Categories!$A:$A,0)))</f>
        <v>Pet Shops</v>
      </c>
      <c r="H2388" s="7" t="str">
        <f t="array" ref="H2388">IF(ISBLANK(E2388), "", INDEX(Categories!$B:$B,MATCH(E2388,Categories!$A:$A,0)))</f>
        <v/>
      </c>
      <c r="I2388" s="7" t="str">
        <f t="array" ref="I2388">IF(ISBLANK(F2388), "", INDEX(Categories!$B:$B,MATCH(F2388,Categories!$A:$A,0)))</f>
        <v/>
      </c>
      <c r="J2388" s="4"/>
      <c r="K2388" s="4"/>
      <c r="L2388" s="4"/>
      <c r="M2388" s="4"/>
      <c r="N2388" s="4"/>
      <c r="O2388" s="4"/>
      <c r="P2388" s="4"/>
      <c r="Q2388" s="4"/>
    </row>
    <row r="2389">
      <c r="A2389" s="5">
        <v>2388.0</v>
      </c>
      <c r="B2389" s="5" t="s">
        <v>2901</v>
      </c>
      <c r="C2389" s="5" t="s">
        <v>2742</v>
      </c>
      <c r="D2389" s="6">
        <f>IFERROR(__xludf.DUMMYFUNCTION("SPLIT(MID(C2389,2,LEN(C2389)-2), "","")"),1173.0)</f>
        <v>1173</v>
      </c>
      <c r="E2389" s="7"/>
      <c r="F2389" s="7"/>
      <c r="G2389" s="2" t="str">
        <f t="array" ref="G2389">IF(ISBLANK(D2389), "", INDEX(Categories!$B:$B,MATCH(D2389,Categories!$A:$A,0)))</f>
        <v>Truck Stops</v>
      </c>
      <c r="H2389" s="7" t="str">
        <f t="array" ref="H2389">IF(ISBLANK(E2389), "", INDEX(Categories!$B:$B,MATCH(E2389,Categories!$A:$A,0)))</f>
        <v/>
      </c>
      <c r="I2389" s="7" t="str">
        <f t="array" ref="I2389">IF(ISBLANK(F2389), "", INDEX(Categories!$B:$B,MATCH(F2389,Categories!$A:$A,0)))</f>
        <v/>
      </c>
      <c r="J2389" s="4"/>
      <c r="K2389" s="4"/>
      <c r="L2389" s="4"/>
      <c r="M2389" s="4"/>
      <c r="N2389" s="4"/>
      <c r="O2389" s="4"/>
      <c r="P2389" s="4"/>
      <c r="Q2389" s="4"/>
    </row>
    <row r="2390">
      <c r="A2390" s="5">
        <v>2389.0</v>
      </c>
      <c r="B2390" s="5" t="s">
        <v>2902</v>
      </c>
      <c r="C2390" s="5" t="s">
        <v>62</v>
      </c>
      <c r="D2390" s="6">
        <f>IFERROR(__xludf.DUMMYFUNCTION("SPLIT(MID(C2390,2,LEN(C2390)-2), "","")"),242.0)</f>
        <v>242</v>
      </c>
      <c r="E2390" s="7"/>
      <c r="F2390" s="7"/>
      <c r="G2390" s="2" t="str">
        <f t="array" ref="G2390">IF(ISBLANK(D2390), "", INDEX(Categories!$B:$B,MATCH(D2390,Categories!$A:$A,0)))</f>
        <v>Restaurants Pizza</v>
      </c>
      <c r="H2390" s="7" t="str">
        <f t="array" ref="H2390">IF(ISBLANK(E2390), "", INDEX(Categories!$B:$B,MATCH(E2390,Categories!$A:$A,0)))</f>
        <v/>
      </c>
      <c r="I2390" s="7" t="str">
        <f t="array" ref="I2390">IF(ISBLANK(F2390), "", INDEX(Categories!$B:$B,MATCH(F2390,Categories!$A:$A,0)))</f>
        <v/>
      </c>
      <c r="J2390" s="4"/>
      <c r="K2390" s="4"/>
      <c r="L2390" s="4"/>
      <c r="M2390" s="4"/>
      <c r="N2390" s="4"/>
      <c r="O2390" s="4"/>
      <c r="P2390" s="4"/>
      <c r="Q2390" s="4"/>
    </row>
    <row r="2391">
      <c r="A2391" s="5">
        <v>2390.0</v>
      </c>
      <c r="B2391" s="5" t="s">
        <v>2903</v>
      </c>
      <c r="C2391" s="5" t="s">
        <v>2049</v>
      </c>
      <c r="D2391" s="6">
        <f>IFERROR(__xludf.DUMMYFUNCTION("SPLIT(MID(C2391,2,LEN(C2391)-2), "","")"),1250.0)</f>
        <v>1250</v>
      </c>
      <c r="E2391" s="7"/>
      <c r="F2391" s="7"/>
      <c r="G2391" s="2" t="str">
        <f t="array" ref="G2391">IF(ISBLANK(D2391), "", INDEX(Categories!$B:$B,MATCH(D2391,Categories!$A:$A,0)))</f>
        <v>Designers Apparel</v>
      </c>
      <c r="H2391" s="7" t="str">
        <f t="array" ref="H2391">IF(ISBLANK(E2391), "", INDEX(Categories!$B:$B,MATCH(E2391,Categories!$A:$A,0)))</f>
        <v/>
      </c>
      <c r="I2391" s="7" t="str">
        <f t="array" ref="I2391">IF(ISBLANK(F2391), "", INDEX(Categories!$B:$B,MATCH(F2391,Categories!$A:$A,0)))</f>
        <v/>
      </c>
      <c r="J2391" s="4"/>
      <c r="K2391" s="4"/>
      <c r="L2391" s="4"/>
      <c r="M2391" s="4"/>
      <c r="N2391" s="4"/>
      <c r="O2391" s="4"/>
      <c r="P2391" s="4"/>
      <c r="Q2391" s="4"/>
    </row>
    <row r="2392">
      <c r="A2392" s="5">
        <v>2391.0</v>
      </c>
      <c r="B2392" s="5" t="s">
        <v>2904</v>
      </c>
      <c r="C2392" s="5" t="s">
        <v>2049</v>
      </c>
      <c r="D2392" s="6">
        <f>IFERROR(__xludf.DUMMYFUNCTION("SPLIT(MID(C2392,2,LEN(C2392)-2), "","")"),1250.0)</f>
        <v>1250</v>
      </c>
      <c r="E2392" s="7"/>
      <c r="F2392" s="7"/>
      <c r="G2392" s="2" t="str">
        <f t="array" ref="G2392">IF(ISBLANK(D2392), "", INDEX(Categories!$B:$B,MATCH(D2392,Categories!$A:$A,0)))</f>
        <v>Designers Apparel</v>
      </c>
      <c r="H2392" s="7" t="str">
        <f t="array" ref="H2392">IF(ISBLANK(E2392), "", INDEX(Categories!$B:$B,MATCH(E2392,Categories!$A:$A,0)))</f>
        <v/>
      </c>
      <c r="I2392" s="7" t="str">
        <f t="array" ref="I2392">IF(ISBLANK(F2392), "", INDEX(Categories!$B:$B,MATCH(F2392,Categories!$A:$A,0)))</f>
        <v/>
      </c>
      <c r="J2392" s="4"/>
      <c r="K2392" s="4"/>
      <c r="L2392" s="4"/>
      <c r="M2392" s="4"/>
      <c r="N2392" s="4"/>
      <c r="O2392" s="4"/>
      <c r="P2392" s="4"/>
      <c r="Q2392" s="4"/>
    </row>
    <row r="2393">
      <c r="A2393" s="5">
        <v>2392.0</v>
      </c>
      <c r="B2393" s="5" t="s">
        <v>2905</v>
      </c>
      <c r="C2393" s="5" t="s">
        <v>69</v>
      </c>
      <c r="D2393" s="6">
        <f>IFERROR(__xludf.DUMMYFUNCTION("SPLIT(MID(C2393,2,LEN(C2393)-2), "","")"),293.0)</f>
        <v>293</v>
      </c>
      <c r="E2393" s="7"/>
      <c r="F2393" s="7"/>
      <c r="G2393" s="2" t="str">
        <f t="array" ref="G2393">IF(ISBLANK(D2393), "", INDEX(Categories!$B:$B,MATCH(D2393,Categories!$A:$A,0)))</f>
        <v>Banks Commercial</v>
      </c>
      <c r="H2393" s="7" t="str">
        <f t="array" ref="H2393">IF(ISBLANK(E2393), "", INDEX(Categories!$B:$B,MATCH(E2393,Categories!$A:$A,0)))</f>
        <v/>
      </c>
      <c r="I2393" s="7" t="str">
        <f t="array" ref="I2393">IF(ISBLANK(F2393), "", INDEX(Categories!$B:$B,MATCH(F2393,Categories!$A:$A,0)))</f>
        <v/>
      </c>
      <c r="J2393" s="4"/>
      <c r="K2393" s="4"/>
      <c r="L2393" s="4"/>
      <c r="M2393" s="4"/>
      <c r="N2393" s="4"/>
      <c r="O2393" s="4"/>
      <c r="P2393" s="4"/>
      <c r="Q2393" s="4"/>
    </row>
    <row r="2394">
      <c r="A2394" s="5">
        <v>2393.0</v>
      </c>
      <c r="B2394" s="5" t="s">
        <v>2906</v>
      </c>
      <c r="C2394" s="5" t="s">
        <v>2819</v>
      </c>
      <c r="D2394" s="6">
        <f>IFERROR(__xludf.DUMMYFUNCTION("SPLIT(MID(C2394,2,LEN(C2394)-2), "","")"),2817.0)</f>
        <v>2817</v>
      </c>
      <c r="E2394" s="7"/>
      <c r="F2394" s="7"/>
      <c r="G2394" s="2" t="str">
        <f t="array" ref="G2394">IF(ISBLANK(D2394), "", INDEX(Categories!$B:$B,MATCH(D2394,Categories!$A:$A,0)))</f>
        <v>Clinics Medical</v>
      </c>
      <c r="H2394" s="7" t="str">
        <f t="array" ref="H2394">IF(ISBLANK(E2394), "", INDEX(Categories!$B:$B,MATCH(E2394,Categories!$A:$A,0)))</f>
        <v/>
      </c>
      <c r="I2394" s="7" t="str">
        <f t="array" ref="I2394">IF(ISBLANK(F2394), "", INDEX(Categories!$B:$B,MATCH(F2394,Categories!$A:$A,0)))</f>
        <v/>
      </c>
      <c r="J2394" s="4"/>
      <c r="K2394" s="4"/>
      <c r="L2394" s="4"/>
      <c r="M2394" s="4"/>
      <c r="N2394" s="4"/>
      <c r="O2394" s="4"/>
      <c r="P2394" s="4"/>
      <c r="Q2394" s="4"/>
    </row>
    <row r="2395">
      <c r="A2395" s="5">
        <v>2394.0</v>
      </c>
      <c r="B2395" s="5" t="s">
        <v>2907</v>
      </c>
      <c r="C2395" s="5" t="s">
        <v>1109</v>
      </c>
      <c r="D2395" s="6">
        <f>IFERROR(__xludf.DUMMYFUNCTION("SPLIT(MID(C2395,2,LEN(C2395)-2), "","")"),45.0)</f>
        <v>45</v>
      </c>
      <c r="E2395" s="7"/>
      <c r="F2395" s="7"/>
      <c r="G2395" s="2" t="str">
        <f t="array" ref="G2395">IF(ISBLANK(D2395), "", INDEX(Categories!$B:$B,MATCH(D2395,Categories!$A:$A,0)))</f>
        <v>Automobile - Parts &amp; Accessories</v>
      </c>
      <c r="H2395" s="7" t="str">
        <f t="array" ref="H2395">IF(ISBLANK(E2395), "", INDEX(Categories!$B:$B,MATCH(E2395,Categories!$A:$A,0)))</f>
        <v/>
      </c>
      <c r="I2395" s="7" t="str">
        <f t="array" ref="I2395">IF(ISBLANK(F2395), "", INDEX(Categories!$B:$B,MATCH(F2395,Categories!$A:$A,0)))</f>
        <v/>
      </c>
      <c r="J2395" s="4"/>
      <c r="K2395" s="4"/>
      <c r="L2395" s="4"/>
      <c r="M2395" s="4"/>
      <c r="N2395" s="4"/>
      <c r="O2395" s="4"/>
      <c r="P2395" s="4"/>
      <c r="Q2395" s="4"/>
    </row>
    <row r="2396">
      <c r="A2396" s="5">
        <v>2395.0</v>
      </c>
      <c r="B2396" s="5" t="s">
        <v>2908</v>
      </c>
      <c r="C2396" s="5" t="s">
        <v>2049</v>
      </c>
      <c r="D2396" s="6">
        <f>IFERROR(__xludf.DUMMYFUNCTION("SPLIT(MID(C2396,2,LEN(C2396)-2), "","")"),1250.0)</f>
        <v>1250</v>
      </c>
      <c r="E2396" s="7"/>
      <c r="F2396" s="7"/>
      <c r="G2396" s="2" t="str">
        <f t="array" ref="G2396">IF(ISBLANK(D2396), "", INDEX(Categories!$B:$B,MATCH(D2396,Categories!$A:$A,0)))</f>
        <v>Designers Apparel</v>
      </c>
      <c r="H2396" s="7" t="str">
        <f t="array" ref="H2396">IF(ISBLANK(E2396), "", INDEX(Categories!$B:$B,MATCH(E2396,Categories!$A:$A,0)))</f>
        <v/>
      </c>
      <c r="I2396" s="7" t="str">
        <f t="array" ref="I2396">IF(ISBLANK(F2396), "", INDEX(Categories!$B:$B,MATCH(F2396,Categories!$A:$A,0)))</f>
        <v/>
      </c>
      <c r="J2396" s="4"/>
      <c r="K2396" s="4"/>
      <c r="L2396" s="4"/>
      <c r="M2396" s="4"/>
      <c r="N2396" s="4"/>
      <c r="O2396" s="4"/>
      <c r="P2396" s="4"/>
      <c r="Q2396" s="4"/>
    </row>
    <row r="2397">
      <c r="A2397" s="5">
        <v>2396.0</v>
      </c>
      <c r="B2397" s="5" t="s">
        <v>2909</v>
      </c>
      <c r="C2397" s="5" t="s">
        <v>2910</v>
      </c>
      <c r="D2397" s="6">
        <f>IFERROR(__xludf.DUMMYFUNCTION("SPLIT(MID(C2397,2,LEN(C2397)-2), "","")"),730.0)</f>
        <v>730</v>
      </c>
      <c r="E2397" s="7"/>
      <c r="F2397" s="7"/>
      <c r="G2397" s="2" t="str">
        <f t="array" ref="G2397">IF(ISBLANK(D2397), "", INDEX(Categories!$B:$B,MATCH(D2397,Categories!$A:$A,0)))</f>
        <v>Adult Entertainment</v>
      </c>
      <c r="H2397" s="7" t="str">
        <f t="array" ref="H2397">IF(ISBLANK(E2397), "", INDEX(Categories!$B:$B,MATCH(E2397,Categories!$A:$A,0)))</f>
        <v/>
      </c>
      <c r="I2397" s="7" t="str">
        <f t="array" ref="I2397">IF(ISBLANK(F2397), "", INDEX(Categories!$B:$B,MATCH(F2397,Categories!$A:$A,0)))</f>
        <v/>
      </c>
      <c r="J2397" s="4"/>
      <c r="K2397" s="4"/>
      <c r="L2397" s="4"/>
      <c r="M2397" s="4"/>
      <c r="N2397" s="4"/>
      <c r="O2397" s="4"/>
      <c r="P2397" s="4"/>
      <c r="Q2397" s="4"/>
    </row>
    <row r="2398">
      <c r="A2398" s="5">
        <v>2397.0</v>
      </c>
      <c r="B2398" s="5" t="s">
        <v>2911</v>
      </c>
      <c r="C2398" s="5" t="s">
        <v>69</v>
      </c>
      <c r="D2398" s="6">
        <f>IFERROR(__xludf.DUMMYFUNCTION("SPLIT(MID(C2398,2,LEN(C2398)-2), "","")"),293.0)</f>
        <v>293</v>
      </c>
      <c r="E2398" s="7"/>
      <c r="F2398" s="7"/>
      <c r="G2398" s="2" t="str">
        <f t="array" ref="G2398">IF(ISBLANK(D2398), "", INDEX(Categories!$B:$B,MATCH(D2398,Categories!$A:$A,0)))</f>
        <v>Banks Commercial</v>
      </c>
      <c r="H2398" s="7" t="str">
        <f t="array" ref="H2398">IF(ISBLANK(E2398), "", INDEX(Categories!$B:$B,MATCH(E2398,Categories!$A:$A,0)))</f>
        <v/>
      </c>
      <c r="I2398" s="7" t="str">
        <f t="array" ref="I2398">IF(ISBLANK(F2398), "", INDEX(Categories!$B:$B,MATCH(F2398,Categories!$A:$A,0)))</f>
        <v/>
      </c>
      <c r="J2398" s="4"/>
      <c r="K2398" s="4"/>
      <c r="L2398" s="4"/>
      <c r="M2398" s="4"/>
      <c r="N2398" s="4"/>
      <c r="O2398" s="4"/>
      <c r="P2398" s="4"/>
      <c r="Q2398" s="4"/>
    </row>
    <row r="2399">
      <c r="A2399" s="5">
        <v>2398.0</v>
      </c>
      <c r="B2399" s="5" t="s">
        <v>2912</v>
      </c>
      <c r="C2399" s="5" t="s">
        <v>69</v>
      </c>
      <c r="D2399" s="6">
        <f>IFERROR(__xludf.DUMMYFUNCTION("SPLIT(MID(C2399,2,LEN(C2399)-2), "","")"),293.0)</f>
        <v>293</v>
      </c>
      <c r="E2399" s="7"/>
      <c r="F2399" s="7"/>
      <c r="G2399" s="2" t="str">
        <f t="array" ref="G2399">IF(ISBLANK(D2399), "", INDEX(Categories!$B:$B,MATCH(D2399,Categories!$A:$A,0)))</f>
        <v>Banks Commercial</v>
      </c>
      <c r="H2399" s="7" t="str">
        <f t="array" ref="H2399">IF(ISBLANK(E2399), "", INDEX(Categories!$B:$B,MATCH(E2399,Categories!$A:$A,0)))</f>
        <v/>
      </c>
      <c r="I2399" s="7" t="str">
        <f t="array" ref="I2399">IF(ISBLANK(F2399), "", INDEX(Categories!$B:$B,MATCH(F2399,Categories!$A:$A,0)))</f>
        <v/>
      </c>
      <c r="J2399" s="4"/>
      <c r="K2399" s="4"/>
      <c r="L2399" s="4"/>
      <c r="M2399" s="4"/>
      <c r="N2399" s="4"/>
      <c r="O2399" s="4"/>
      <c r="P2399" s="4"/>
      <c r="Q2399" s="4"/>
    </row>
    <row r="2400">
      <c r="A2400" s="5">
        <v>2399.0</v>
      </c>
      <c r="B2400" s="5" t="s">
        <v>2913</v>
      </c>
      <c r="C2400" s="5" t="s">
        <v>69</v>
      </c>
      <c r="D2400" s="6">
        <f>IFERROR(__xludf.DUMMYFUNCTION("SPLIT(MID(C2400,2,LEN(C2400)-2), "","")"),293.0)</f>
        <v>293</v>
      </c>
      <c r="E2400" s="7"/>
      <c r="F2400" s="7"/>
      <c r="G2400" s="2" t="str">
        <f t="array" ref="G2400">IF(ISBLANK(D2400), "", INDEX(Categories!$B:$B,MATCH(D2400,Categories!$A:$A,0)))</f>
        <v>Banks Commercial</v>
      </c>
      <c r="H2400" s="7" t="str">
        <f t="array" ref="H2400">IF(ISBLANK(E2400), "", INDEX(Categories!$B:$B,MATCH(E2400,Categories!$A:$A,0)))</f>
        <v/>
      </c>
      <c r="I2400" s="7" t="str">
        <f t="array" ref="I2400">IF(ISBLANK(F2400), "", INDEX(Categories!$B:$B,MATCH(F2400,Categories!$A:$A,0)))</f>
        <v/>
      </c>
      <c r="J2400" s="4"/>
      <c r="K2400" s="4"/>
      <c r="L2400" s="4"/>
      <c r="M2400" s="4"/>
      <c r="N2400" s="4"/>
      <c r="O2400" s="4"/>
      <c r="P2400" s="4"/>
      <c r="Q2400" s="4"/>
    </row>
    <row r="2401">
      <c r="A2401" s="5">
        <v>2400.0</v>
      </c>
      <c r="B2401" s="5" t="s">
        <v>2914</v>
      </c>
      <c r="C2401" s="5" t="s">
        <v>60</v>
      </c>
      <c r="D2401" s="6">
        <f>IFERROR(__xludf.DUMMYFUNCTION("SPLIT(MID(C2401,2,LEN(C2401)-2), "","")"),240.0)</f>
        <v>240</v>
      </c>
      <c r="E2401" s="7"/>
      <c r="F2401" s="7"/>
      <c r="G2401" s="2" t="str">
        <f t="array" ref="G2401">IF(ISBLANK(D2401), "", INDEX(Categories!$B:$B,MATCH(D2401,Categories!$A:$A,0)))</f>
        <v>Restaurants Fast Food</v>
      </c>
      <c r="H2401" s="7" t="str">
        <f t="array" ref="H2401">IF(ISBLANK(E2401), "", INDEX(Categories!$B:$B,MATCH(E2401,Categories!$A:$A,0)))</f>
        <v/>
      </c>
      <c r="I2401" s="7" t="str">
        <f t="array" ref="I2401">IF(ISBLANK(F2401), "", INDEX(Categories!$B:$B,MATCH(F2401,Categories!$A:$A,0)))</f>
        <v/>
      </c>
      <c r="J2401" s="4"/>
      <c r="K2401" s="4"/>
      <c r="L2401" s="4"/>
      <c r="M2401" s="4"/>
      <c r="N2401" s="4"/>
      <c r="O2401" s="4"/>
      <c r="P2401" s="4"/>
      <c r="Q2401" s="4"/>
    </row>
    <row r="2402">
      <c r="A2402" s="5">
        <v>2401.0</v>
      </c>
      <c r="B2402" s="5" t="s">
        <v>2915</v>
      </c>
      <c r="C2402" s="5" t="s">
        <v>87</v>
      </c>
      <c r="D2402" s="6">
        <f>IFERROR(__xludf.DUMMYFUNCTION("SPLIT(MID(C2402,2,LEN(C2402)-2), "","")"),168.0)</f>
        <v>168</v>
      </c>
      <c r="E2402" s="7"/>
      <c r="F2402" s="7"/>
      <c r="G2402" s="2" t="str">
        <f t="array" ref="G2402">IF(ISBLANK(D2402), "", INDEX(Categories!$B:$B,MATCH(D2402,Categories!$A:$A,0)))</f>
        <v>Hotels &amp; Motels</v>
      </c>
      <c r="H2402" s="7" t="str">
        <f t="array" ref="H2402">IF(ISBLANK(E2402), "", INDEX(Categories!$B:$B,MATCH(E2402,Categories!$A:$A,0)))</f>
        <v/>
      </c>
      <c r="I2402" s="7" t="str">
        <f t="array" ref="I2402">IF(ISBLANK(F2402), "", INDEX(Categories!$B:$B,MATCH(F2402,Categories!$A:$A,0)))</f>
        <v/>
      </c>
      <c r="J2402" s="4"/>
      <c r="K2402" s="4"/>
      <c r="L2402" s="4"/>
      <c r="M2402" s="4"/>
      <c r="N2402" s="4"/>
      <c r="O2402" s="4"/>
      <c r="P2402" s="4"/>
      <c r="Q2402" s="4"/>
    </row>
    <row r="2403">
      <c r="A2403" s="5">
        <v>2402.0</v>
      </c>
      <c r="B2403" s="5" t="s">
        <v>2916</v>
      </c>
      <c r="C2403" s="5" t="s">
        <v>1158</v>
      </c>
      <c r="D2403" s="6">
        <f>IFERROR(__xludf.DUMMYFUNCTION("SPLIT(MID(C2403,2,LEN(C2403)-2), "","")"),2815.0)</f>
        <v>2815</v>
      </c>
      <c r="E2403" s="7"/>
      <c r="F2403" s="7"/>
      <c r="G2403" s="2" t="str">
        <f t="array" ref="G2403">IF(ISBLANK(D2403), "", INDEX(Categories!$B:$B,MATCH(D2403,Categories!$A:$A,0)))</f>
        <v>Hospitals, Clinics &amp; Medical Centers</v>
      </c>
      <c r="H2403" s="7" t="str">
        <f t="array" ref="H2403">IF(ISBLANK(E2403), "", INDEX(Categories!$B:$B,MATCH(E2403,Categories!$A:$A,0)))</f>
        <v/>
      </c>
      <c r="I2403" s="7" t="str">
        <f t="array" ref="I2403">IF(ISBLANK(F2403), "", INDEX(Categories!$B:$B,MATCH(F2403,Categories!$A:$A,0)))</f>
        <v/>
      </c>
      <c r="J2403" s="4"/>
      <c r="K2403" s="4"/>
      <c r="L2403" s="4"/>
      <c r="M2403" s="4"/>
      <c r="N2403" s="4"/>
      <c r="O2403" s="4"/>
      <c r="P2403" s="4"/>
      <c r="Q2403" s="4"/>
    </row>
    <row r="2404">
      <c r="A2404" s="5">
        <v>2403.0</v>
      </c>
      <c r="B2404" s="5" t="s">
        <v>2917</v>
      </c>
      <c r="C2404" s="5" t="s">
        <v>69</v>
      </c>
      <c r="D2404" s="6">
        <f>IFERROR(__xludf.DUMMYFUNCTION("SPLIT(MID(C2404,2,LEN(C2404)-2), "","")"),293.0)</f>
        <v>293</v>
      </c>
      <c r="E2404" s="7"/>
      <c r="F2404" s="7"/>
      <c r="G2404" s="2" t="str">
        <f t="array" ref="G2404">IF(ISBLANK(D2404), "", INDEX(Categories!$B:$B,MATCH(D2404,Categories!$A:$A,0)))</f>
        <v>Banks Commercial</v>
      </c>
      <c r="H2404" s="7" t="str">
        <f t="array" ref="H2404">IF(ISBLANK(E2404), "", INDEX(Categories!$B:$B,MATCH(E2404,Categories!$A:$A,0)))</f>
        <v/>
      </c>
      <c r="I2404" s="7" t="str">
        <f t="array" ref="I2404">IF(ISBLANK(F2404), "", INDEX(Categories!$B:$B,MATCH(F2404,Categories!$A:$A,0)))</f>
        <v/>
      </c>
      <c r="J2404" s="4"/>
      <c r="K2404" s="4"/>
      <c r="L2404" s="4"/>
      <c r="M2404" s="4"/>
      <c r="N2404" s="4"/>
      <c r="O2404" s="4"/>
      <c r="P2404" s="4"/>
      <c r="Q2404" s="4"/>
    </row>
    <row r="2405">
      <c r="A2405" s="5">
        <v>2404.0</v>
      </c>
      <c r="B2405" s="5" t="s">
        <v>2918</v>
      </c>
      <c r="C2405" s="5" t="s">
        <v>2819</v>
      </c>
      <c r="D2405" s="6">
        <f>IFERROR(__xludf.DUMMYFUNCTION("SPLIT(MID(C2405,2,LEN(C2405)-2), "","")"),2817.0)</f>
        <v>2817</v>
      </c>
      <c r="E2405" s="7"/>
      <c r="F2405" s="7"/>
      <c r="G2405" s="2" t="str">
        <f t="array" ref="G2405">IF(ISBLANK(D2405), "", INDEX(Categories!$B:$B,MATCH(D2405,Categories!$A:$A,0)))</f>
        <v>Clinics Medical</v>
      </c>
      <c r="H2405" s="7" t="str">
        <f t="array" ref="H2405">IF(ISBLANK(E2405), "", INDEX(Categories!$B:$B,MATCH(E2405,Categories!$A:$A,0)))</f>
        <v/>
      </c>
      <c r="I2405" s="7" t="str">
        <f t="array" ref="I2405">IF(ISBLANK(F2405), "", INDEX(Categories!$B:$B,MATCH(F2405,Categories!$A:$A,0)))</f>
        <v/>
      </c>
      <c r="J2405" s="4"/>
      <c r="K2405" s="4"/>
      <c r="L2405" s="4"/>
      <c r="M2405" s="4"/>
      <c r="N2405" s="4"/>
      <c r="O2405" s="4"/>
      <c r="P2405" s="4"/>
      <c r="Q2405" s="4"/>
    </row>
    <row r="2406">
      <c r="A2406" s="5">
        <v>2405.0</v>
      </c>
      <c r="B2406" s="5" t="s">
        <v>2919</v>
      </c>
      <c r="C2406" s="5" t="s">
        <v>69</v>
      </c>
      <c r="D2406" s="6">
        <f>IFERROR(__xludf.DUMMYFUNCTION("SPLIT(MID(C2406,2,LEN(C2406)-2), "","")"),293.0)</f>
        <v>293</v>
      </c>
      <c r="E2406" s="7"/>
      <c r="F2406" s="7"/>
      <c r="G2406" s="2" t="str">
        <f t="array" ref="G2406">IF(ISBLANK(D2406), "", INDEX(Categories!$B:$B,MATCH(D2406,Categories!$A:$A,0)))</f>
        <v>Banks Commercial</v>
      </c>
      <c r="H2406" s="7" t="str">
        <f t="array" ref="H2406">IF(ISBLANK(E2406), "", INDEX(Categories!$B:$B,MATCH(E2406,Categories!$A:$A,0)))</f>
        <v/>
      </c>
      <c r="I2406" s="7" t="str">
        <f t="array" ref="I2406">IF(ISBLANK(F2406), "", INDEX(Categories!$B:$B,MATCH(F2406,Categories!$A:$A,0)))</f>
        <v/>
      </c>
      <c r="J2406" s="4"/>
      <c r="K2406" s="4"/>
      <c r="L2406" s="4"/>
      <c r="M2406" s="4"/>
      <c r="N2406" s="4"/>
      <c r="O2406" s="4"/>
      <c r="P2406" s="4"/>
      <c r="Q2406" s="4"/>
    </row>
    <row r="2407">
      <c r="A2407" s="5">
        <v>2406.0</v>
      </c>
      <c r="B2407" s="5" t="s">
        <v>2920</v>
      </c>
      <c r="C2407" s="5" t="s">
        <v>2921</v>
      </c>
      <c r="D2407" s="6">
        <f>IFERROR(__xludf.DUMMYFUNCTION("SPLIT(MID(C2407,2,LEN(C2407)-2), "","")"),1144.0)</f>
        <v>1144</v>
      </c>
      <c r="E2407" s="7"/>
      <c r="F2407" s="7"/>
      <c r="G2407" s="2" t="str">
        <f t="array" ref="G2407">IF(ISBLANK(D2407), "", INDEX(Categories!$B:$B,MATCH(D2407,Categories!$A:$A,0)))</f>
        <v>Gasoline Wholesale</v>
      </c>
      <c r="H2407" s="7" t="str">
        <f t="array" ref="H2407">IF(ISBLANK(E2407), "", INDEX(Categories!$B:$B,MATCH(E2407,Categories!$A:$A,0)))</f>
        <v/>
      </c>
      <c r="I2407" s="7" t="str">
        <f t="array" ref="I2407">IF(ISBLANK(F2407), "", INDEX(Categories!$B:$B,MATCH(F2407,Categories!$A:$A,0)))</f>
        <v/>
      </c>
      <c r="J2407" s="4"/>
      <c r="K2407" s="4"/>
      <c r="L2407" s="4"/>
      <c r="M2407" s="4"/>
      <c r="N2407" s="4"/>
      <c r="O2407" s="4"/>
      <c r="P2407" s="4"/>
      <c r="Q2407" s="4"/>
    </row>
    <row r="2408">
      <c r="A2408" s="5">
        <v>2407.0</v>
      </c>
      <c r="B2408" s="5" t="s">
        <v>2922</v>
      </c>
      <c r="C2408" s="5" t="s">
        <v>2819</v>
      </c>
      <c r="D2408" s="6">
        <f>IFERROR(__xludf.DUMMYFUNCTION("SPLIT(MID(C2408,2,LEN(C2408)-2), "","")"),2817.0)</f>
        <v>2817</v>
      </c>
      <c r="E2408" s="7"/>
      <c r="F2408" s="7"/>
      <c r="G2408" s="2" t="str">
        <f t="array" ref="G2408">IF(ISBLANK(D2408), "", INDEX(Categories!$B:$B,MATCH(D2408,Categories!$A:$A,0)))</f>
        <v>Clinics Medical</v>
      </c>
      <c r="H2408" s="7" t="str">
        <f t="array" ref="H2408">IF(ISBLANK(E2408), "", INDEX(Categories!$B:$B,MATCH(E2408,Categories!$A:$A,0)))</f>
        <v/>
      </c>
      <c r="I2408" s="7" t="str">
        <f t="array" ref="I2408">IF(ISBLANK(F2408), "", INDEX(Categories!$B:$B,MATCH(F2408,Categories!$A:$A,0)))</f>
        <v/>
      </c>
      <c r="J2408" s="4"/>
      <c r="K2408" s="4"/>
      <c r="L2408" s="4"/>
      <c r="M2408" s="4"/>
      <c r="N2408" s="4"/>
      <c r="O2408" s="4"/>
      <c r="P2408" s="4"/>
      <c r="Q2408" s="4"/>
    </row>
    <row r="2409">
      <c r="A2409" s="5">
        <v>2408.0</v>
      </c>
      <c r="B2409" s="5" t="s">
        <v>2923</v>
      </c>
      <c r="C2409" s="5" t="s">
        <v>69</v>
      </c>
      <c r="D2409" s="6">
        <f>IFERROR(__xludf.DUMMYFUNCTION("SPLIT(MID(C2409,2,LEN(C2409)-2), "","")"),293.0)</f>
        <v>293</v>
      </c>
      <c r="E2409" s="7"/>
      <c r="F2409" s="7"/>
      <c r="G2409" s="2" t="str">
        <f t="array" ref="G2409">IF(ISBLANK(D2409), "", INDEX(Categories!$B:$B,MATCH(D2409,Categories!$A:$A,0)))</f>
        <v>Banks Commercial</v>
      </c>
      <c r="H2409" s="7" t="str">
        <f t="array" ref="H2409">IF(ISBLANK(E2409), "", INDEX(Categories!$B:$B,MATCH(E2409,Categories!$A:$A,0)))</f>
        <v/>
      </c>
      <c r="I2409" s="7" t="str">
        <f t="array" ref="I2409">IF(ISBLANK(F2409), "", INDEX(Categories!$B:$B,MATCH(F2409,Categories!$A:$A,0)))</f>
        <v/>
      </c>
      <c r="J2409" s="4"/>
      <c r="K2409" s="4"/>
      <c r="L2409" s="4"/>
      <c r="M2409" s="4"/>
      <c r="N2409" s="4"/>
      <c r="O2409" s="4"/>
      <c r="P2409" s="4"/>
      <c r="Q2409" s="4"/>
    </row>
    <row r="2410">
      <c r="A2410" s="5">
        <v>2409.0</v>
      </c>
      <c r="B2410" s="5" t="s">
        <v>2924</v>
      </c>
      <c r="C2410" s="5" t="s">
        <v>69</v>
      </c>
      <c r="D2410" s="6">
        <f>IFERROR(__xludf.DUMMYFUNCTION("SPLIT(MID(C2410,2,LEN(C2410)-2), "","")"),293.0)</f>
        <v>293</v>
      </c>
      <c r="E2410" s="7"/>
      <c r="F2410" s="7"/>
      <c r="G2410" s="2" t="str">
        <f t="array" ref="G2410">IF(ISBLANK(D2410), "", INDEX(Categories!$B:$B,MATCH(D2410,Categories!$A:$A,0)))</f>
        <v>Banks Commercial</v>
      </c>
      <c r="H2410" s="7" t="str">
        <f t="array" ref="H2410">IF(ISBLANK(E2410), "", INDEX(Categories!$B:$B,MATCH(E2410,Categories!$A:$A,0)))</f>
        <v/>
      </c>
      <c r="I2410" s="7" t="str">
        <f t="array" ref="I2410">IF(ISBLANK(F2410), "", INDEX(Categories!$B:$B,MATCH(F2410,Categories!$A:$A,0)))</f>
        <v/>
      </c>
      <c r="J2410" s="4"/>
      <c r="K2410" s="4"/>
      <c r="L2410" s="4"/>
      <c r="M2410" s="4"/>
      <c r="N2410" s="4"/>
      <c r="O2410" s="4"/>
      <c r="P2410" s="4"/>
      <c r="Q2410" s="4"/>
    </row>
    <row r="2411">
      <c r="A2411" s="5">
        <v>2410.0</v>
      </c>
      <c r="B2411" s="5" t="s">
        <v>2925</v>
      </c>
      <c r="C2411" s="5" t="s">
        <v>2819</v>
      </c>
      <c r="D2411" s="6">
        <f>IFERROR(__xludf.DUMMYFUNCTION("SPLIT(MID(C2411,2,LEN(C2411)-2), "","")"),2817.0)</f>
        <v>2817</v>
      </c>
      <c r="E2411" s="7"/>
      <c r="F2411" s="7"/>
      <c r="G2411" s="2" t="str">
        <f t="array" ref="G2411">IF(ISBLANK(D2411), "", INDEX(Categories!$B:$B,MATCH(D2411,Categories!$A:$A,0)))</f>
        <v>Clinics Medical</v>
      </c>
      <c r="H2411" s="7" t="str">
        <f t="array" ref="H2411">IF(ISBLANK(E2411), "", INDEX(Categories!$B:$B,MATCH(E2411,Categories!$A:$A,0)))</f>
        <v/>
      </c>
      <c r="I2411" s="7" t="str">
        <f t="array" ref="I2411">IF(ISBLANK(F2411), "", INDEX(Categories!$B:$B,MATCH(F2411,Categories!$A:$A,0)))</f>
        <v/>
      </c>
      <c r="J2411" s="4"/>
      <c r="K2411" s="4"/>
      <c r="L2411" s="4"/>
      <c r="M2411" s="4"/>
      <c r="N2411" s="4"/>
      <c r="O2411" s="4"/>
      <c r="P2411" s="4"/>
      <c r="Q2411" s="4"/>
    </row>
    <row r="2412">
      <c r="A2412" s="5">
        <v>2411.0</v>
      </c>
      <c r="B2412" s="5" t="s">
        <v>2926</v>
      </c>
      <c r="C2412" s="5" t="s">
        <v>34</v>
      </c>
      <c r="D2412" s="6">
        <f>IFERROR(__xludf.DUMMYFUNCTION("SPLIT(MID(C2412,2,LEN(C2412)-2), "","")"),228.0)</f>
        <v>228</v>
      </c>
      <c r="E2412" s="7"/>
      <c r="F2412" s="7"/>
      <c r="G2412" s="2" t="str">
        <f t="array" ref="G2412">IF(ISBLANK(D2412), "", INDEX(Categories!$B:$B,MATCH(D2412,Categories!$A:$A,0)))</f>
        <v>Restaurants</v>
      </c>
      <c r="H2412" s="7" t="str">
        <f t="array" ref="H2412">IF(ISBLANK(E2412), "", INDEX(Categories!$B:$B,MATCH(E2412,Categories!$A:$A,0)))</f>
        <v/>
      </c>
      <c r="I2412" s="7" t="str">
        <f t="array" ref="I2412">IF(ISBLANK(F2412), "", INDEX(Categories!$B:$B,MATCH(F2412,Categories!$A:$A,0)))</f>
        <v/>
      </c>
      <c r="J2412" s="4"/>
      <c r="K2412" s="4"/>
      <c r="L2412" s="4"/>
      <c r="M2412" s="4"/>
      <c r="N2412" s="4"/>
      <c r="O2412" s="4"/>
      <c r="P2412" s="4"/>
      <c r="Q2412" s="4"/>
    </row>
    <row r="2413">
      <c r="A2413" s="5">
        <v>2412.0</v>
      </c>
      <c r="B2413" s="5" t="s">
        <v>2927</v>
      </c>
      <c r="C2413" s="5" t="s">
        <v>69</v>
      </c>
      <c r="D2413" s="6">
        <f>IFERROR(__xludf.DUMMYFUNCTION("SPLIT(MID(C2413,2,LEN(C2413)-2), "","")"),293.0)</f>
        <v>293</v>
      </c>
      <c r="E2413" s="7"/>
      <c r="F2413" s="7"/>
      <c r="G2413" s="2" t="str">
        <f t="array" ref="G2413">IF(ISBLANK(D2413), "", INDEX(Categories!$B:$B,MATCH(D2413,Categories!$A:$A,0)))</f>
        <v>Banks Commercial</v>
      </c>
      <c r="H2413" s="7" t="str">
        <f t="array" ref="H2413">IF(ISBLANK(E2413), "", INDEX(Categories!$B:$B,MATCH(E2413,Categories!$A:$A,0)))</f>
        <v/>
      </c>
      <c r="I2413" s="7" t="str">
        <f t="array" ref="I2413">IF(ISBLANK(F2413), "", INDEX(Categories!$B:$B,MATCH(F2413,Categories!$A:$A,0)))</f>
        <v/>
      </c>
      <c r="J2413" s="4"/>
      <c r="K2413" s="4"/>
      <c r="L2413" s="4"/>
      <c r="M2413" s="4"/>
      <c r="N2413" s="4"/>
      <c r="O2413" s="4"/>
      <c r="P2413" s="4"/>
      <c r="Q2413" s="4"/>
    </row>
    <row r="2414">
      <c r="A2414" s="5">
        <v>2413.0</v>
      </c>
      <c r="B2414" s="5" t="s">
        <v>2928</v>
      </c>
      <c r="C2414" s="5" t="s">
        <v>2819</v>
      </c>
      <c r="D2414" s="6">
        <f>IFERROR(__xludf.DUMMYFUNCTION("SPLIT(MID(C2414,2,LEN(C2414)-2), "","")"),2817.0)</f>
        <v>2817</v>
      </c>
      <c r="E2414" s="7"/>
      <c r="F2414" s="7"/>
      <c r="G2414" s="2" t="str">
        <f t="array" ref="G2414">IF(ISBLANK(D2414), "", INDEX(Categories!$B:$B,MATCH(D2414,Categories!$A:$A,0)))</f>
        <v>Clinics Medical</v>
      </c>
      <c r="H2414" s="7" t="str">
        <f t="array" ref="H2414">IF(ISBLANK(E2414), "", INDEX(Categories!$B:$B,MATCH(E2414,Categories!$A:$A,0)))</f>
        <v/>
      </c>
      <c r="I2414" s="7" t="str">
        <f t="array" ref="I2414">IF(ISBLANK(F2414), "", INDEX(Categories!$B:$B,MATCH(F2414,Categories!$A:$A,0)))</f>
        <v/>
      </c>
      <c r="J2414" s="4"/>
      <c r="K2414" s="4"/>
      <c r="L2414" s="4"/>
      <c r="M2414" s="4"/>
      <c r="N2414" s="4"/>
      <c r="O2414" s="4"/>
      <c r="P2414" s="4"/>
      <c r="Q2414" s="4"/>
    </row>
    <row r="2415">
      <c r="A2415" s="5">
        <v>2414.0</v>
      </c>
      <c r="B2415" s="5" t="s">
        <v>2929</v>
      </c>
      <c r="C2415" s="5" t="s">
        <v>2049</v>
      </c>
      <c r="D2415" s="6">
        <f>IFERROR(__xludf.DUMMYFUNCTION("SPLIT(MID(C2415,2,LEN(C2415)-2), "","")"),1250.0)</f>
        <v>1250</v>
      </c>
      <c r="E2415" s="7"/>
      <c r="F2415" s="7"/>
      <c r="G2415" s="2" t="str">
        <f t="array" ref="G2415">IF(ISBLANK(D2415), "", INDEX(Categories!$B:$B,MATCH(D2415,Categories!$A:$A,0)))</f>
        <v>Designers Apparel</v>
      </c>
      <c r="H2415" s="7" t="str">
        <f t="array" ref="H2415">IF(ISBLANK(E2415), "", INDEX(Categories!$B:$B,MATCH(E2415,Categories!$A:$A,0)))</f>
        <v/>
      </c>
      <c r="I2415" s="7" t="str">
        <f t="array" ref="I2415">IF(ISBLANK(F2415), "", INDEX(Categories!$B:$B,MATCH(F2415,Categories!$A:$A,0)))</f>
        <v/>
      </c>
      <c r="J2415" s="4"/>
      <c r="K2415" s="4"/>
      <c r="L2415" s="4"/>
      <c r="M2415" s="4"/>
      <c r="N2415" s="4"/>
      <c r="O2415" s="4"/>
      <c r="P2415" s="4"/>
      <c r="Q2415" s="4"/>
    </row>
    <row r="2416">
      <c r="A2416" s="5">
        <v>2415.0</v>
      </c>
      <c r="B2416" s="5" t="s">
        <v>2930</v>
      </c>
      <c r="C2416" s="5" t="s">
        <v>43</v>
      </c>
      <c r="D2416" s="6">
        <f>IFERROR(__xludf.DUMMYFUNCTION("SPLIT(MID(C2416,2,LEN(C2416)-2), "","")"),292.0)</f>
        <v>292</v>
      </c>
      <c r="E2416" s="7"/>
      <c r="F2416" s="7"/>
      <c r="G2416" s="2" t="str">
        <f t="array" ref="G2416">IF(ISBLANK(D2416), "", INDEX(Categories!$B:$B,MATCH(D2416,Categories!$A:$A,0)))</f>
        <v>Banks</v>
      </c>
      <c r="H2416" s="7" t="str">
        <f t="array" ref="H2416">IF(ISBLANK(E2416), "", INDEX(Categories!$B:$B,MATCH(E2416,Categories!$A:$A,0)))</f>
        <v/>
      </c>
      <c r="I2416" s="7" t="str">
        <f t="array" ref="I2416">IF(ISBLANK(F2416), "", INDEX(Categories!$B:$B,MATCH(F2416,Categories!$A:$A,0)))</f>
        <v/>
      </c>
      <c r="J2416" s="4"/>
      <c r="K2416" s="4"/>
      <c r="L2416" s="4"/>
      <c r="M2416" s="4"/>
      <c r="N2416" s="4"/>
      <c r="O2416" s="4"/>
      <c r="P2416" s="4"/>
      <c r="Q2416" s="4"/>
    </row>
    <row r="2417">
      <c r="A2417" s="5">
        <v>2416.0</v>
      </c>
      <c r="B2417" s="5" t="s">
        <v>2931</v>
      </c>
      <c r="C2417" s="5" t="s">
        <v>34</v>
      </c>
      <c r="D2417" s="6">
        <f>IFERROR(__xludf.DUMMYFUNCTION("SPLIT(MID(C2417,2,LEN(C2417)-2), "","")"),228.0)</f>
        <v>228</v>
      </c>
      <c r="E2417" s="7"/>
      <c r="F2417" s="7"/>
      <c r="G2417" s="2" t="str">
        <f t="array" ref="G2417">IF(ISBLANK(D2417), "", INDEX(Categories!$B:$B,MATCH(D2417,Categories!$A:$A,0)))</f>
        <v>Restaurants</v>
      </c>
      <c r="H2417" s="7" t="str">
        <f t="array" ref="H2417">IF(ISBLANK(E2417), "", INDEX(Categories!$B:$B,MATCH(E2417,Categories!$A:$A,0)))</f>
        <v/>
      </c>
      <c r="I2417" s="7" t="str">
        <f t="array" ref="I2417">IF(ISBLANK(F2417), "", INDEX(Categories!$B:$B,MATCH(F2417,Categories!$A:$A,0)))</f>
        <v/>
      </c>
      <c r="J2417" s="4"/>
      <c r="K2417" s="4"/>
      <c r="L2417" s="4"/>
      <c r="M2417" s="4"/>
      <c r="N2417" s="4"/>
      <c r="O2417" s="4"/>
      <c r="P2417" s="4"/>
      <c r="Q2417" s="4"/>
    </row>
    <row r="2418">
      <c r="A2418" s="5">
        <v>2417.0</v>
      </c>
      <c r="B2418" s="5" t="s">
        <v>2932</v>
      </c>
      <c r="C2418" s="5" t="s">
        <v>303</v>
      </c>
      <c r="D2418" s="6">
        <f>IFERROR(__xludf.DUMMYFUNCTION("SPLIT(MID(C2418,2,LEN(C2418)-2), "","")"),1241.0)</f>
        <v>1241</v>
      </c>
      <c r="E2418" s="7"/>
      <c r="F2418" s="7"/>
      <c r="G2418" s="2" t="str">
        <f t="array" ref="G2418">IF(ISBLANK(D2418), "", INDEX(Categories!$B:$B,MATCH(D2418,Categories!$A:$A,0)))</f>
        <v>Clothing &amp; Accessories</v>
      </c>
      <c r="H2418" s="7" t="str">
        <f t="array" ref="H2418">IF(ISBLANK(E2418), "", INDEX(Categories!$B:$B,MATCH(E2418,Categories!$A:$A,0)))</f>
        <v/>
      </c>
      <c r="I2418" s="7" t="str">
        <f t="array" ref="I2418">IF(ISBLANK(F2418), "", INDEX(Categories!$B:$B,MATCH(F2418,Categories!$A:$A,0)))</f>
        <v/>
      </c>
      <c r="J2418" s="4"/>
      <c r="K2418" s="4"/>
      <c r="L2418" s="4"/>
      <c r="M2418" s="4"/>
      <c r="N2418" s="4"/>
      <c r="O2418" s="4"/>
      <c r="P2418" s="4"/>
      <c r="Q2418" s="4"/>
    </row>
    <row r="2419">
      <c r="A2419" s="5">
        <v>2418.0</v>
      </c>
      <c r="B2419" s="5" t="s">
        <v>2933</v>
      </c>
      <c r="C2419" s="5" t="s">
        <v>2049</v>
      </c>
      <c r="D2419" s="6">
        <f>IFERROR(__xludf.DUMMYFUNCTION("SPLIT(MID(C2419,2,LEN(C2419)-2), "","")"),1250.0)</f>
        <v>1250</v>
      </c>
      <c r="E2419" s="7"/>
      <c r="F2419" s="7"/>
      <c r="G2419" s="2" t="str">
        <f t="array" ref="G2419">IF(ISBLANK(D2419), "", INDEX(Categories!$B:$B,MATCH(D2419,Categories!$A:$A,0)))</f>
        <v>Designers Apparel</v>
      </c>
      <c r="H2419" s="7" t="str">
        <f t="array" ref="H2419">IF(ISBLANK(E2419), "", INDEX(Categories!$B:$B,MATCH(E2419,Categories!$A:$A,0)))</f>
        <v/>
      </c>
      <c r="I2419" s="7" t="str">
        <f t="array" ref="I2419">IF(ISBLANK(F2419), "", INDEX(Categories!$B:$B,MATCH(F2419,Categories!$A:$A,0)))</f>
        <v/>
      </c>
      <c r="J2419" s="4"/>
      <c r="K2419" s="4"/>
      <c r="L2419" s="4"/>
      <c r="M2419" s="4"/>
      <c r="N2419" s="4"/>
      <c r="O2419" s="4"/>
      <c r="P2419" s="4"/>
      <c r="Q2419" s="4"/>
    </row>
    <row r="2420">
      <c r="A2420" s="5">
        <v>2419.0</v>
      </c>
      <c r="B2420" s="5" t="s">
        <v>2934</v>
      </c>
      <c r="C2420" s="5" t="s">
        <v>2049</v>
      </c>
      <c r="D2420" s="6">
        <f>IFERROR(__xludf.DUMMYFUNCTION("SPLIT(MID(C2420,2,LEN(C2420)-2), "","")"),1250.0)</f>
        <v>1250</v>
      </c>
      <c r="E2420" s="7"/>
      <c r="F2420" s="7"/>
      <c r="G2420" s="2" t="str">
        <f t="array" ref="G2420">IF(ISBLANK(D2420), "", INDEX(Categories!$B:$B,MATCH(D2420,Categories!$A:$A,0)))</f>
        <v>Designers Apparel</v>
      </c>
      <c r="H2420" s="7" t="str">
        <f t="array" ref="H2420">IF(ISBLANK(E2420), "", INDEX(Categories!$B:$B,MATCH(E2420,Categories!$A:$A,0)))</f>
        <v/>
      </c>
      <c r="I2420" s="7" t="str">
        <f t="array" ref="I2420">IF(ISBLANK(F2420), "", INDEX(Categories!$B:$B,MATCH(F2420,Categories!$A:$A,0)))</f>
        <v/>
      </c>
      <c r="J2420" s="4"/>
      <c r="K2420" s="4"/>
      <c r="L2420" s="4"/>
      <c r="M2420" s="4"/>
      <c r="N2420" s="4"/>
      <c r="O2420" s="4"/>
      <c r="P2420" s="4"/>
      <c r="Q2420" s="4"/>
    </row>
    <row r="2421">
      <c r="A2421" s="5">
        <v>2420.0</v>
      </c>
      <c r="B2421" s="5" t="s">
        <v>2935</v>
      </c>
      <c r="C2421" s="5" t="s">
        <v>303</v>
      </c>
      <c r="D2421" s="6">
        <f>IFERROR(__xludf.DUMMYFUNCTION("SPLIT(MID(C2421,2,LEN(C2421)-2), "","")"),1241.0)</f>
        <v>1241</v>
      </c>
      <c r="E2421" s="7"/>
      <c r="F2421" s="7"/>
      <c r="G2421" s="2" t="str">
        <f t="array" ref="G2421">IF(ISBLANK(D2421), "", INDEX(Categories!$B:$B,MATCH(D2421,Categories!$A:$A,0)))</f>
        <v>Clothing &amp; Accessories</v>
      </c>
      <c r="H2421" s="7" t="str">
        <f t="array" ref="H2421">IF(ISBLANK(E2421), "", INDEX(Categories!$B:$B,MATCH(E2421,Categories!$A:$A,0)))</f>
        <v/>
      </c>
      <c r="I2421" s="7" t="str">
        <f t="array" ref="I2421">IF(ISBLANK(F2421), "", INDEX(Categories!$B:$B,MATCH(F2421,Categories!$A:$A,0)))</f>
        <v/>
      </c>
      <c r="J2421" s="4"/>
      <c r="K2421" s="4"/>
      <c r="L2421" s="4"/>
      <c r="M2421" s="4"/>
      <c r="N2421" s="4"/>
      <c r="O2421" s="4"/>
      <c r="P2421" s="4"/>
      <c r="Q2421" s="4"/>
    </row>
    <row r="2422">
      <c r="A2422" s="5">
        <v>2421.0</v>
      </c>
      <c r="B2422" s="5" t="s">
        <v>2936</v>
      </c>
      <c r="C2422" s="5" t="s">
        <v>69</v>
      </c>
      <c r="D2422" s="6">
        <f>IFERROR(__xludf.DUMMYFUNCTION("SPLIT(MID(C2422,2,LEN(C2422)-2), "","")"),293.0)</f>
        <v>293</v>
      </c>
      <c r="E2422" s="7"/>
      <c r="F2422" s="7"/>
      <c r="G2422" s="2" t="str">
        <f t="array" ref="G2422">IF(ISBLANK(D2422), "", INDEX(Categories!$B:$B,MATCH(D2422,Categories!$A:$A,0)))</f>
        <v>Banks Commercial</v>
      </c>
      <c r="H2422" s="7" t="str">
        <f t="array" ref="H2422">IF(ISBLANK(E2422), "", INDEX(Categories!$B:$B,MATCH(E2422,Categories!$A:$A,0)))</f>
        <v/>
      </c>
      <c r="I2422" s="7" t="str">
        <f t="array" ref="I2422">IF(ISBLANK(F2422), "", INDEX(Categories!$B:$B,MATCH(F2422,Categories!$A:$A,0)))</f>
        <v/>
      </c>
      <c r="J2422" s="4"/>
      <c r="K2422" s="4"/>
      <c r="L2422" s="4"/>
      <c r="M2422" s="4"/>
      <c r="N2422" s="4"/>
      <c r="O2422" s="4"/>
      <c r="P2422" s="4"/>
      <c r="Q2422" s="4"/>
    </row>
    <row r="2423">
      <c r="A2423" s="5">
        <v>2422.0</v>
      </c>
      <c r="B2423" s="5" t="s">
        <v>2937</v>
      </c>
      <c r="C2423" s="5" t="s">
        <v>346</v>
      </c>
      <c r="D2423" s="6">
        <f>IFERROR(__xludf.DUMMYFUNCTION("SPLIT(MID(C2423,2,LEN(C2423)-2), "","")"),610.0)</f>
        <v>610</v>
      </c>
      <c r="E2423" s="7"/>
      <c r="F2423" s="7"/>
      <c r="G2423" s="2" t="str">
        <f t="array" ref="G2423">IF(ISBLANK(D2423), "", INDEX(Categories!$B:$B,MATCH(D2423,Categories!$A:$A,0)))</f>
        <v>Supermarkets &amp; Super Stores</v>
      </c>
      <c r="H2423" s="7" t="str">
        <f t="array" ref="H2423">IF(ISBLANK(E2423), "", INDEX(Categories!$B:$B,MATCH(E2423,Categories!$A:$A,0)))</f>
        <v/>
      </c>
      <c r="I2423" s="7" t="str">
        <f t="array" ref="I2423">IF(ISBLANK(F2423), "", INDEX(Categories!$B:$B,MATCH(F2423,Categories!$A:$A,0)))</f>
        <v/>
      </c>
      <c r="J2423" s="4"/>
      <c r="K2423" s="4"/>
      <c r="L2423" s="4"/>
      <c r="M2423" s="4"/>
      <c r="N2423" s="4"/>
      <c r="O2423" s="4"/>
      <c r="P2423" s="4"/>
      <c r="Q2423" s="4"/>
    </row>
    <row r="2424">
      <c r="A2424" s="5">
        <v>2423.0</v>
      </c>
      <c r="B2424" s="5" t="s">
        <v>2938</v>
      </c>
      <c r="C2424" s="5" t="s">
        <v>43</v>
      </c>
      <c r="D2424" s="6">
        <f>IFERROR(__xludf.DUMMYFUNCTION("SPLIT(MID(C2424,2,LEN(C2424)-2), "","")"),292.0)</f>
        <v>292</v>
      </c>
      <c r="E2424" s="7"/>
      <c r="F2424" s="7"/>
      <c r="G2424" s="2" t="str">
        <f t="array" ref="G2424">IF(ISBLANK(D2424), "", INDEX(Categories!$B:$B,MATCH(D2424,Categories!$A:$A,0)))</f>
        <v>Banks</v>
      </c>
      <c r="H2424" s="7" t="str">
        <f t="array" ref="H2424">IF(ISBLANK(E2424), "", INDEX(Categories!$B:$B,MATCH(E2424,Categories!$A:$A,0)))</f>
        <v/>
      </c>
      <c r="I2424" s="7" t="str">
        <f t="array" ref="I2424">IF(ISBLANK(F2424), "", INDEX(Categories!$B:$B,MATCH(F2424,Categories!$A:$A,0)))</f>
        <v/>
      </c>
      <c r="J2424" s="4"/>
      <c r="K2424" s="4"/>
      <c r="L2424" s="4"/>
      <c r="M2424" s="4"/>
      <c r="N2424" s="4"/>
      <c r="O2424" s="4"/>
      <c r="P2424" s="4"/>
      <c r="Q2424" s="4"/>
    </row>
    <row r="2425">
      <c r="A2425" s="5">
        <v>2424.0</v>
      </c>
      <c r="B2425" s="5" t="s">
        <v>2939</v>
      </c>
      <c r="C2425" s="5" t="s">
        <v>34</v>
      </c>
      <c r="D2425" s="6">
        <f>IFERROR(__xludf.DUMMYFUNCTION("SPLIT(MID(C2425,2,LEN(C2425)-2), "","")"),228.0)</f>
        <v>228</v>
      </c>
      <c r="E2425" s="7"/>
      <c r="F2425" s="7"/>
      <c r="G2425" s="2" t="str">
        <f t="array" ref="G2425">IF(ISBLANK(D2425), "", INDEX(Categories!$B:$B,MATCH(D2425,Categories!$A:$A,0)))</f>
        <v>Restaurants</v>
      </c>
      <c r="H2425" s="7" t="str">
        <f t="array" ref="H2425">IF(ISBLANK(E2425), "", INDEX(Categories!$B:$B,MATCH(E2425,Categories!$A:$A,0)))</f>
        <v/>
      </c>
      <c r="I2425" s="7" t="str">
        <f t="array" ref="I2425">IF(ISBLANK(F2425), "", INDEX(Categories!$B:$B,MATCH(F2425,Categories!$A:$A,0)))</f>
        <v/>
      </c>
      <c r="J2425" s="4"/>
      <c r="K2425" s="4"/>
      <c r="L2425" s="4"/>
      <c r="M2425" s="4"/>
      <c r="N2425" s="4"/>
      <c r="O2425" s="4"/>
      <c r="P2425" s="4"/>
      <c r="Q2425" s="4"/>
    </row>
    <row r="2426">
      <c r="A2426" s="5">
        <v>2425.0</v>
      </c>
      <c r="B2426" s="5" t="s">
        <v>2940</v>
      </c>
      <c r="C2426" s="5" t="s">
        <v>34</v>
      </c>
      <c r="D2426" s="6">
        <f>IFERROR(__xludf.DUMMYFUNCTION("SPLIT(MID(C2426,2,LEN(C2426)-2), "","")"),228.0)</f>
        <v>228</v>
      </c>
      <c r="E2426" s="7"/>
      <c r="F2426" s="7"/>
      <c r="G2426" s="2" t="str">
        <f t="array" ref="G2426">IF(ISBLANK(D2426), "", INDEX(Categories!$B:$B,MATCH(D2426,Categories!$A:$A,0)))</f>
        <v>Restaurants</v>
      </c>
      <c r="H2426" s="7" t="str">
        <f t="array" ref="H2426">IF(ISBLANK(E2426), "", INDEX(Categories!$B:$B,MATCH(E2426,Categories!$A:$A,0)))</f>
        <v/>
      </c>
      <c r="I2426" s="7" t="str">
        <f t="array" ref="I2426">IF(ISBLANK(F2426), "", INDEX(Categories!$B:$B,MATCH(F2426,Categories!$A:$A,0)))</f>
        <v/>
      </c>
      <c r="J2426" s="4"/>
      <c r="K2426" s="4"/>
      <c r="L2426" s="4"/>
      <c r="M2426" s="4"/>
      <c r="N2426" s="4"/>
      <c r="O2426" s="4"/>
      <c r="P2426" s="4"/>
      <c r="Q2426" s="4"/>
    </row>
    <row r="2427">
      <c r="A2427" s="5">
        <v>2426.0</v>
      </c>
      <c r="B2427" s="5" t="s">
        <v>2941</v>
      </c>
      <c r="C2427" s="5" t="s">
        <v>69</v>
      </c>
      <c r="D2427" s="6">
        <f>IFERROR(__xludf.DUMMYFUNCTION("SPLIT(MID(C2427,2,LEN(C2427)-2), "","")"),293.0)</f>
        <v>293</v>
      </c>
      <c r="E2427" s="7"/>
      <c r="F2427" s="7"/>
      <c r="G2427" s="2" t="str">
        <f t="array" ref="G2427">IF(ISBLANK(D2427), "", INDEX(Categories!$B:$B,MATCH(D2427,Categories!$A:$A,0)))</f>
        <v>Banks Commercial</v>
      </c>
      <c r="H2427" s="7" t="str">
        <f t="array" ref="H2427">IF(ISBLANK(E2427), "", INDEX(Categories!$B:$B,MATCH(E2427,Categories!$A:$A,0)))</f>
        <v/>
      </c>
      <c r="I2427" s="7" t="str">
        <f t="array" ref="I2427">IF(ISBLANK(F2427), "", INDEX(Categories!$B:$B,MATCH(F2427,Categories!$A:$A,0)))</f>
        <v/>
      </c>
      <c r="J2427" s="4"/>
      <c r="K2427" s="4"/>
      <c r="L2427" s="4"/>
      <c r="M2427" s="4"/>
      <c r="N2427" s="4"/>
      <c r="O2427" s="4"/>
      <c r="P2427" s="4"/>
      <c r="Q2427" s="4"/>
    </row>
    <row r="2428">
      <c r="A2428" s="5">
        <v>2427.0</v>
      </c>
      <c r="B2428" s="5" t="s">
        <v>2942</v>
      </c>
      <c r="C2428" s="5" t="s">
        <v>280</v>
      </c>
      <c r="D2428" s="6">
        <f>IFERROR(__xludf.DUMMYFUNCTION("SPLIT(MID(C2428,2,LEN(C2428)-2), "","")"),936.0)</f>
        <v>936</v>
      </c>
      <c r="E2428" s="7"/>
      <c r="F2428" s="7"/>
      <c r="G2428" s="2" t="str">
        <f t="array" ref="G2428">IF(ISBLANK(D2428), "", INDEX(Categories!$B:$B,MATCH(D2428,Categories!$A:$A,0)))</f>
        <v>Loans</v>
      </c>
      <c r="H2428" s="7" t="str">
        <f t="array" ref="H2428">IF(ISBLANK(E2428), "", INDEX(Categories!$B:$B,MATCH(E2428,Categories!$A:$A,0)))</f>
        <v/>
      </c>
      <c r="I2428" s="7" t="str">
        <f t="array" ref="I2428">IF(ISBLANK(F2428), "", INDEX(Categories!$B:$B,MATCH(F2428,Categories!$A:$A,0)))</f>
        <v/>
      </c>
      <c r="J2428" s="4"/>
      <c r="K2428" s="4"/>
      <c r="L2428" s="4"/>
      <c r="M2428" s="4"/>
      <c r="N2428" s="4"/>
      <c r="O2428" s="4"/>
      <c r="P2428" s="4"/>
      <c r="Q2428" s="4"/>
    </row>
    <row r="2429">
      <c r="A2429" s="5">
        <v>2428.0</v>
      </c>
      <c r="B2429" s="5" t="s">
        <v>2943</v>
      </c>
      <c r="C2429" s="5" t="s">
        <v>280</v>
      </c>
      <c r="D2429" s="6">
        <f>IFERROR(__xludf.DUMMYFUNCTION("SPLIT(MID(C2429,2,LEN(C2429)-2), "","")"),936.0)</f>
        <v>936</v>
      </c>
      <c r="E2429" s="7"/>
      <c r="F2429" s="7"/>
      <c r="G2429" s="2" t="str">
        <f t="array" ref="G2429">IF(ISBLANK(D2429), "", INDEX(Categories!$B:$B,MATCH(D2429,Categories!$A:$A,0)))</f>
        <v>Loans</v>
      </c>
      <c r="H2429" s="7" t="str">
        <f t="array" ref="H2429">IF(ISBLANK(E2429), "", INDEX(Categories!$B:$B,MATCH(E2429,Categories!$A:$A,0)))</f>
        <v/>
      </c>
      <c r="I2429" s="7" t="str">
        <f t="array" ref="I2429">IF(ISBLANK(F2429), "", INDEX(Categories!$B:$B,MATCH(F2429,Categories!$A:$A,0)))</f>
        <v/>
      </c>
      <c r="J2429" s="4"/>
      <c r="K2429" s="4"/>
      <c r="L2429" s="4"/>
      <c r="M2429" s="4"/>
      <c r="N2429" s="4"/>
      <c r="O2429" s="4"/>
      <c r="P2429" s="4"/>
      <c r="Q2429" s="4"/>
    </row>
    <row r="2430">
      <c r="A2430" s="5">
        <v>2429.0</v>
      </c>
      <c r="B2430" s="5" t="s">
        <v>2944</v>
      </c>
      <c r="C2430" s="5" t="s">
        <v>280</v>
      </c>
      <c r="D2430" s="6">
        <f>IFERROR(__xludf.DUMMYFUNCTION("SPLIT(MID(C2430,2,LEN(C2430)-2), "","")"),936.0)</f>
        <v>936</v>
      </c>
      <c r="E2430" s="7"/>
      <c r="F2430" s="7"/>
      <c r="G2430" s="2" t="str">
        <f t="array" ref="G2430">IF(ISBLANK(D2430), "", INDEX(Categories!$B:$B,MATCH(D2430,Categories!$A:$A,0)))</f>
        <v>Loans</v>
      </c>
      <c r="H2430" s="7" t="str">
        <f t="array" ref="H2430">IF(ISBLANK(E2430), "", INDEX(Categories!$B:$B,MATCH(E2430,Categories!$A:$A,0)))</f>
        <v/>
      </c>
      <c r="I2430" s="7" t="str">
        <f t="array" ref="I2430">IF(ISBLANK(F2430), "", INDEX(Categories!$B:$B,MATCH(F2430,Categories!$A:$A,0)))</f>
        <v/>
      </c>
      <c r="J2430" s="4"/>
      <c r="K2430" s="4"/>
      <c r="L2430" s="4"/>
      <c r="M2430" s="4"/>
      <c r="N2430" s="4"/>
      <c r="O2430" s="4"/>
      <c r="P2430" s="4"/>
      <c r="Q2430" s="4"/>
    </row>
    <row r="2431">
      <c r="A2431" s="5">
        <v>2430.0</v>
      </c>
      <c r="B2431" s="5" t="s">
        <v>2945</v>
      </c>
      <c r="C2431" s="5" t="s">
        <v>280</v>
      </c>
      <c r="D2431" s="6">
        <f>IFERROR(__xludf.DUMMYFUNCTION("SPLIT(MID(C2431,2,LEN(C2431)-2), "","")"),936.0)</f>
        <v>936</v>
      </c>
      <c r="E2431" s="7"/>
      <c r="F2431" s="7"/>
      <c r="G2431" s="2" t="str">
        <f t="array" ref="G2431">IF(ISBLANK(D2431), "", INDEX(Categories!$B:$B,MATCH(D2431,Categories!$A:$A,0)))</f>
        <v>Loans</v>
      </c>
      <c r="H2431" s="7" t="str">
        <f t="array" ref="H2431">IF(ISBLANK(E2431), "", INDEX(Categories!$B:$B,MATCH(E2431,Categories!$A:$A,0)))</f>
        <v/>
      </c>
      <c r="I2431" s="7" t="str">
        <f t="array" ref="I2431">IF(ISBLANK(F2431), "", INDEX(Categories!$B:$B,MATCH(F2431,Categories!$A:$A,0)))</f>
        <v/>
      </c>
      <c r="J2431" s="4"/>
      <c r="K2431" s="4"/>
      <c r="L2431" s="4"/>
      <c r="M2431" s="4"/>
      <c r="N2431" s="4"/>
      <c r="O2431" s="4"/>
      <c r="P2431" s="4"/>
      <c r="Q2431" s="4"/>
    </row>
    <row r="2432">
      <c r="A2432" s="5">
        <v>2431.0</v>
      </c>
      <c r="B2432" s="5" t="s">
        <v>2946</v>
      </c>
      <c r="C2432" s="5" t="s">
        <v>69</v>
      </c>
      <c r="D2432" s="6">
        <f>IFERROR(__xludf.DUMMYFUNCTION("SPLIT(MID(C2432,2,LEN(C2432)-2), "","")"),293.0)</f>
        <v>293</v>
      </c>
      <c r="E2432" s="7"/>
      <c r="F2432" s="7"/>
      <c r="G2432" s="2" t="str">
        <f t="array" ref="G2432">IF(ISBLANK(D2432), "", INDEX(Categories!$B:$B,MATCH(D2432,Categories!$A:$A,0)))</f>
        <v>Banks Commercial</v>
      </c>
      <c r="H2432" s="7" t="str">
        <f t="array" ref="H2432">IF(ISBLANK(E2432), "", INDEX(Categories!$B:$B,MATCH(E2432,Categories!$A:$A,0)))</f>
        <v/>
      </c>
      <c r="I2432" s="7" t="str">
        <f t="array" ref="I2432">IF(ISBLANK(F2432), "", INDEX(Categories!$B:$B,MATCH(F2432,Categories!$A:$A,0)))</f>
        <v/>
      </c>
      <c r="J2432" s="4"/>
      <c r="K2432" s="4"/>
      <c r="L2432" s="4"/>
      <c r="M2432" s="4"/>
      <c r="N2432" s="4"/>
      <c r="O2432" s="4"/>
      <c r="P2432" s="4"/>
      <c r="Q2432" s="4"/>
    </row>
    <row r="2433">
      <c r="A2433" s="5">
        <v>2432.0</v>
      </c>
      <c r="B2433" s="5" t="s">
        <v>2947</v>
      </c>
      <c r="C2433" s="5" t="s">
        <v>65</v>
      </c>
      <c r="D2433" s="6">
        <f>IFERROR(__xludf.DUMMYFUNCTION("SPLIT(MID(C2433,2,LEN(C2433)-2), "","")"),983.0)</f>
        <v>983</v>
      </c>
      <c r="E2433" s="7"/>
      <c r="F2433" s="7"/>
      <c r="G2433" s="2" t="str">
        <f t="array" ref="G2433">IF(ISBLANK(D2433), "", INDEX(Categories!$B:$B,MATCH(D2433,Categories!$A:$A,0)))</f>
        <v>Mobile Telephone Service</v>
      </c>
      <c r="H2433" s="7" t="str">
        <f t="array" ref="H2433">IF(ISBLANK(E2433), "", INDEX(Categories!$B:$B,MATCH(E2433,Categories!$A:$A,0)))</f>
        <v/>
      </c>
      <c r="I2433" s="7" t="str">
        <f t="array" ref="I2433">IF(ISBLANK(F2433), "", INDEX(Categories!$B:$B,MATCH(F2433,Categories!$A:$A,0)))</f>
        <v/>
      </c>
      <c r="J2433" s="4"/>
      <c r="K2433" s="4"/>
      <c r="L2433" s="4"/>
      <c r="M2433" s="4"/>
      <c r="N2433" s="4"/>
      <c r="O2433" s="4"/>
      <c r="P2433" s="4"/>
      <c r="Q2433" s="4"/>
    </row>
    <row r="2434">
      <c r="A2434" s="5">
        <v>2433.0</v>
      </c>
      <c r="B2434" s="5" t="s">
        <v>2948</v>
      </c>
      <c r="C2434" s="5" t="s">
        <v>2949</v>
      </c>
      <c r="D2434" s="6">
        <f>IFERROR(__xludf.DUMMYFUNCTION("SPLIT(MID(C2434,2,LEN(C2434)-2), "","")"),43.0)</f>
        <v>43</v>
      </c>
      <c r="E2434" s="7"/>
      <c r="F2434" s="7"/>
      <c r="G2434" s="2" t="str">
        <f t="array" ref="G2434">IF(ISBLANK(D2434), "", INDEX(Categories!$B:$B,MATCH(D2434,Categories!$A:$A,0)))</f>
        <v>Rent To Own Stores</v>
      </c>
      <c r="H2434" s="7" t="str">
        <f t="array" ref="H2434">IF(ISBLANK(E2434), "", INDEX(Categories!$B:$B,MATCH(E2434,Categories!$A:$A,0)))</f>
        <v/>
      </c>
      <c r="I2434" s="7" t="str">
        <f t="array" ref="I2434">IF(ISBLANK(F2434), "", INDEX(Categories!$B:$B,MATCH(F2434,Categories!$A:$A,0)))</f>
        <v/>
      </c>
      <c r="J2434" s="4"/>
      <c r="K2434" s="4"/>
      <c r="L2434" s="4"/>
      <c r="M2434" s="4"/>
      <c r="N2434" s="4"/>
      <c r="O2434" s="4"/>
      <c r="P2434" s="4"/>
      <c r="Q2434" s="4"/>
    </row>
    <row r="2435">
      <c r="A2435" s="5">
        <v>2434.0</v>
      </c>
      <c r="B2435" s="5" t="s">
        <v>2950</v>
      </c>
      <c r="C2435" s="5" t="s">
        <v>109</v>
      </c>
      <c r="D2435" s="6">
        <f>IFERROR(__xludf.DUMMYFUNCTION("SPLIT(MID(C2435,2,LEN(C2435)-2), "","")"),741.0)</f>
        <v>741</v>
      </c>
      <c r="E2435" s="7"/>
      <c r="F2435" s="7"/>
      <c r="G2435" s="2" t="str">
        <f t="array" ref="G2435">IF(ISBLANK(D2435), "", INDEX(Categories!$B:$B,MATCH(D2435,Categories!$A:$A,0)))</f>
        <v>Shoes</v>
      </c>
      <c r="H2435" s="7" t="str">
        <f t="array" ref="H2435">IF(ISBLANK(E2435), "", INDEX(Categories!$B:$B,MATCH(E2435,Categories!$A:$A,0)))</f>
        <v/>
      </c>
      <c r="I2435" s="7" t="str">
        <f t="array" ref="I2435">IF(ISBLANK(F2435), "", INDEX(Categories!$B:$B,MATCH(F2435,Categories!$A:$A,0)))</f>
        <v/>
      </c>
      <c r="J2435" s="4"/>
      <c r="K2435" s="4"/>
      <c r="L2435" s="4"/>
      <c r="M2435" s="4"/>
      <c r="N2435" s="4"/>
      <c r="O2435" s="4"/>
      <c r="P2435" s="4"/>
      <c r="Q2435" s="4"/>
    </row>
    <row r="2436">
      <c r="A2436" s="5">
        <v>2435.0</v>
      </c>
      <c r="B2436" s="5" t="s">
        <v>2951</v>
      </c>
      <c r="C2436" s="5" t="s">
        <v>2379</v>
      </c>
      <c r="D2436" s="6">
        <f>IFERROR(__xludf.DUMMYFUNCTION("SPLIT(MID(C2436,2,LEN(C2436)-2), "","")"),1837.0)</f>
        <v>1837</v>
      </c>
      <c r="E2436" s="7"/>
      <c r="F2436" s="7"/>
      <c r="G2436" s="2" t="str">
        <f t="array" ref="G2436">IF(ISBLANK(D2436), "", INDEX(Categories!$B:$B,MATCH(D2436,Categories!$A:$A,0)))</f>
        <v>Opticians</v>
      </c>
      <c r="H2436" s="7" t="str">
        <f t="array" ref="H2436">IF(ISBLANK(E2436), "", INDEX(Categories!$B:$B,MATCH(E2436,Categories!$A:$A,0)))</f>
        <v/>
      </c>
      <c r="I2436" s="7" t="str">
        <f t="array" ref="I2436">IF(ISBLANK(F2436), "", INDEX(Categories!$B:$B,MATCH(F2436,Categories!$A:$A,0)))</f>
        <v/>
      </c>
      <c r="J2436" s="4"/>
      <c r="K2436" s="4"/>
      <c r="L2436" s="4"/>
      <c r="M2436" s="4"/>
      <c r="N2436" s="4"/>
      <c r="O2436" s="4"/>
      <c r="P2436" s="4"/>
      <c r="Q2436" s="4"/>
    </row>
    <row r="2437">
      <c r="A2437" s="5">
        <v>2436.0</v>
      </c>
      <c r="B2437" s="5" t="s">
        <v>2952</v>
      </c>
      <c r="C2437" s="5" t="s">
        <v>463</v>
      </c>
      <c r="D2437" s="6">
        <f>IFERROR(__xludf.DUMMYFUNCTION("SPLIT(MID(C2437,2,LEN(C2437)-2), "","")"),2604.0)</f>
        <v>2604</v>
      </c>
      <c r="E2437" s="7"/>
      <c r="F2437" s="7"/>
      <c r="G2437" s="2" t="str">
        <f t="array" ref="G2437">IF(ISBLANK(D2437), "", INDEX(Categories!$B:$B,MATCH(D2437,Categories!$A:$A,0)))</f>
        <v>Health Clubs</v>
      </c>
      <c r="H2437" s="7" t="str">
        <f t="array" ref="H2437">IF(ISBLANK(E2437), "", INDEX(Categories!$B:$B,MATCH(E2437,Categories!$A:$A,0)))</f>
        <v/>
      </c>
      <c r="I2437" s="7" t="str">
        <f t="array" ref="I2437">IF(ISBLANK(F2437), "", INDEX(Categories!$B:$B,MATCH(F2437,Categories!$A:$A,0)))</f>
        <v/>
      </c>
      <c r="J2437" s="4"/>
      <c r="K2437" s="4"/>
      <c r="L2437" s="4"/>
      <c r="M2437" s="4"/>
      <c r="N2437" s="4"/>
      <c r="O2437" s="4"/>
      <c r="P2437" s="4"/>
      <c r="Q2437" s="4"/>
    </row>
    <row r="2438">
      <c r="A2438" s="5">
        <v>2437.0</v>
      </c>
      <c r="B2438" s="5" t="s">
        <v>2953</v>
      </c>
      <c r="C2438" s="5" t="s">
        <v>1166</v>
      </c>
      <c r="D2438" s="6">
        <f>IFERROR(__xludf.DUMMYFUNCTION("SPLIT(MID(C2438,2,LEN(C2438)-2), "","")"),1.0)</f>
        <v>1</v>
      </c>
      <c r="E2438" s="7"/>
      <c r="F2438" s="7"/>
      <c r="G2438" s="2" t="str">
        <f t="array" ref="G2438">IF(ISBLANK(D2438), "", INDEX(Categories!$B:$B,MATCH(D2438,Categories!$A:$A,0)))</f>
        <v>Automobile - Dealers</v>
      </c>
      <c r="H2438" s="7" t="str">
        <f t="array" ref="H2438">IF(ISBLANK(E2438), "", INDEX(Categories!$B:$B,MATCH(E2438,Categories!$A:$A,0)))</f>
        <v/>
      </c>
      <c r="I2438" s="7" t="str">
        <f t="array" ref="I2438">IF(ISBLANK(F2438), "", INDEX(Categories!$B:$B,MATCH(F2438,Categories!$A:$A,0)))</f>
        <v/>
      </c>
      <c r="J2438" s="4"/>
      <c r="K2438" s="4"/>
      <c r="L2438" s="4"/>
      <c r="M2438" s="4"/>
      <c r="N2438" s="4"/>
      <c r="O2438" s="4"/>
      <c r="P2438" s="4"/>
      <c r="Q2438" s="4"/>
    </row>
    <row r="2439">
      <c r="A2439" s="5">
        <v>2438.0</v>
      </c>
      <c r="B2439" s="5" t="s">
        <v>2954</v>
      </c>
      <c r="C2439" s="5" t="s">
        <v>1282</v>
      </c>
      <c r="D2439" s="6">
        <f>IFERROR(__xludf.DUMMYFUNCTION("SPLIT(MID(C2439,2,LEN(C2439)-2), "","")"),718.0)</f>
        <v>718</v>
      </c>
      <c r="E2439" s="7"/>
      <c r="F2439" s="7"/>
      <c r="G2439" s="2" t="str">
        <f t="array" ref="G2439">IF(ISBLANK(D2439), "", INDEX(Categories!$B:$B,MATCH(D2439,Categories!$A:$A,0)))</f>
        <v>Computer &amp; Computer Equipment Service &amp; Repair</v>
      </c>
      <c r="H2439" s="7" t="str">
        <f t="array" ref="H2439">IF(ISBLANK(E2439), "", INDEX(Categories!$B:$B,MATCH(E2439,Categories!$A:$A,0)))</f>
        <v/>
      </c>
      <c r="I2439" s="7" t="str">
        <f t="array" ref="I2439">IF(ISBLANK(F2439), "", INDEX(Categories!$B:$B,MATCH(F2439,Categories!$A:$A,0)))</f>
        <v/>
      </c>
      <c r="J2439" s="4"/>
      <c r="K2439" s="4"/>
      <c r="L2439" s="4"/>
      <c r="M2439" s="4"/>
      <c r="N2439" s="4"/>
      <c r="O2439" s="4"/>
      <c r="P2439" s="4"/>
      <c r="Q2439" s="4"/>
    </row>
    <row r="2440">
      <c r="A2440" s="5">
        <v>2439.0</v>
      </c>
      <c r="B2440" s="5" t="s">
        <v>2955</v>
      </c>
      <c r="C2440" s="5" t="s">
        <v>1224</v>
      </c>
      <c r="D2440" s="6">
        <f>IFERROR(__xludf.DUMMYFUNCTION("SPLIT(MID(C2440,2,LEN(C2440)-2), "","")"),129.0)</f>
        <v>129</v>
      </c>
      <c r="E2440" s="7"/>
      <c r="F2440" s="7"/>
      <c r="G2440" s="2" t="str">
        <f t="array" ref="G2440">IF(ISBLANK(D2440), "", INDEX(Categories!$B:$B,MATCH(D2440,Categories!$A:$A,0)))</f>
        <v>Insurance Automobile</v>
      </c>
      <c r="H2440" s="7" t="str">
        <f t="array" ref="H2440">IF(ISBLANK(E2440), "", INDEX(Categories!$B:$B,MATCH(E2440,Categories!$A:$A,0)))</f>
        <v/>
      </c>
      <c r="I2440" s="7" t="str">
        <f t="array" ref="I2440">IF(ISBLANK(F2440), "", INDEX(Categories!$B:$B,MATCH(F2440,Categories!$A:$A,0)))</f>
        <v/>
      </c>
      <c r="J2440" s="4"/>
      <c r="K2440" s="4"/>
      <c r="L2440" s="4"/>
      <c r="M2440" s="4"/>
      <c r="N2440" s="4"/>
      <c r="O2440" s="4"/>
      <c r="P2440" s="4"/>
      <c r="Q2440" s="4"/>
    </row>
    <row r="2441">
      <c r="A2441" s="5">
        <v>2440.0</v>
      </c>
      <c r="B2441" s="5" t="s">
        <v>2956</v>
      </c>
      <c r="C2441" s="5" t="s">
        <v>62</v>
      </c>
      <c r="D2441" s="6">
        <f>IFERROR(__xludf.DUMMYFUNCTION("SPLIT(MID(C2441,2,LEN(C2441)-2), "","")"),242.0)</f>
        <v>242</v>
      </c>
      <c r="E2441" s="7"/>
      <c r="F2441" s="7"/>
      <c r="G2441" s="2" t="str">
        <f t="array" ref="G2441">IF(ISBLANK(D2441), "", INDEX(Categories!$B:$B,MATCH(D2441,Categories!$A:$A,0)))</f>
        <v>Restaurants Pizza</v>
      </c>
      <c r="H2441" s="7" t="str">
        <f t="array" ref="H2441">IF(ISBLANK(E2441), "", INDEX(Categories!$B:$B,MATCH(E2441,Categories!$A:$A,0)))</f>
        <v/>
      </c>
      <c r="I2441" s="7" t="str">
        <f t="array" ref="I2441">IF(ISBLANK(F2441), "", INDEX(Categories!$B:$B,MATCH(F2441,Categories!$A:$A,0)))</f>
        <v/>
      </c>
      <c r="J2441" s="4"/>
      <c r="K2441" s="4"/>
      <c r="L2441" s="4"/>
      <c r="M2441" s="4"/>
      <c r="N2441" s="4"/>
      <c r="O2441" s="4"/>
      <c r="P2441" s="4"/>
      <c r="Q2441" s="4"/>
    </row>
    <row r="2442">
      <c r="A2442" s="5">
        <v>2441.0</v>
      </c>
      <c r="B2442" s="5" t="s">
        <v>2957</v>
      </c>
      <c r="C2442" s="5" t="s">
        <v>2958</v>
      </c>
      <c r="D2442" s="6">
        <f>IFERROR(__xludf.DUMMYFUNCTION("SPLIT(MID(C2442,2,LEN(C2442)-2), "","")"),1385.0)</f>
        <v>1385</v>
      </c>
      <c r="E2442" s="7"/>
      <c r="F2442" s="7"/>
      <c r="G2442" s="2" t="str">
        <f t="array" ref="G2442">IF(ISBLANK(D2442), "", INDEX(Categories!$B:$B,MATCH(D2442,Categories!$A:$A,0)))</f>
        <v>Storage Units</v>
      </c>
      <c r="H2442" s="7" t="str">
        <f t="array" ref="H2442">IF(ISBLANK(E2442), "", INDEX(Categories!$B:$B,MATCH(E2442,Categories!$A:$A,0)))</f>
        <v/>
      </c>
      <c r="I2442" s="7" t="str">
        <f t="array" ref="I2442">IF(ISBLANK(F2442), "", INDEX(Categories!$B:$B,MATCH(F2442,Categories!$A:$A,0)))</f>
        <v/>
      </c>
      <c r="J2442" s="4"/>
      <c r="K2442" s="4"/>
      <c r="L2442" s="4"/>
      <c r="M2442" s="4"/>
      <c r="N2442" s="4"/>
      <c r="O2442" s="4"/>
      <c r="P2442" s="4"/>
      <c r="Q2442" s="4"/>
    </row>
    <row r="2443">
      <c r="A2443" s="5">
        <v>2442.0</v>
      </c>
      <c r="B2443" s="5" t="s">
        <v>2959</v>
      </c>
      <c r="C2443" s="5" t="s">
        <v>2960</v>
      </c>
      <c r="D2443" s="6">
        <f>IFERROR(__xludf.DUMMYFUNCTION("SPLIT(MID(C2443,2,LEN(C2443)-2), "","")"),1336.0)</f>
        <v>1336</v>
      </c>
      <c r="E2443" s="7"/>
      <c r="F2443" s="7"/>
      <c r="G2443" s="2" t="str">
        <f t="array" ref="G2443">IF(ISBLANK(D2443), "", INDEX(Categories!$B:$B,MATCH(D2443,Categories!$A:$A,0)))</f>
        <v>Air Conditioning Supplies &amp; Parts Wholesale</v>
      </c>
      <c r="H2443" s="7" t="str">
        <f t="array" ref="H2443">IF(ISBLANK(E2443), "", INDEX(Categories!$B:$B,MATCH(E2443,Categories!$A:$A,0)))</f>
        <v/>
      </c>
      <c r="I2443" s="7" t="str">
        <f t="array" ref="I2443">IF(ISBLANK(F2443), "", INDEX(Categories!$B:$B,MATCH(F2443,Categories!$A:$A,0)))</f>
        <v/>
      </c>
      <c r="J2443" s="4"/>
      <c r="K2443" s="4"/>
      <c r="L2443" s="4"/>
      <c r="M2443" s="4"/>
      <c r="N2443" s="4"/>
      <c r="O2443" s="4"/>
      <c r="P2443" s="4"/>
      <c r="Q2443" s="4"/>
    </row>
    <row r="2444">
      <c r="A2444" s="5">
        <v>2443.0</v>
      </c>
      <c r="B2444" s="5" t="s">
        <v>2961</v>
      </c>
      <c r="C2444" s="5" t="s">
        <v>288</v>
      </c>
      <c r="D2444" s="6">
        <f>IFERROR(__xludf.DUMMYFUNCTION("SPLIT(MID(C2444,2,LEN(C2444)-2), "","")"),1322.0)</f>
        <v>1322</v>
      </c>
      <c r="E2444" s="7"/>
      <c r="F2444" s="7"/>
      <c r="G2444" s="2" t="str">
        <f t="array" ref="G2444">IF(ISBLANK(D2444), "", INDEX(Categories!$B:$B,MATCH(D2444,Categories!$A:$A,0)))</f>
        <v>Financial Consultants</v>
      </c>
      <c r="H2444" s="7" t="str">
        <f t="array" ref="H2444">IF(ISBLANK(E2444), "", INDEX(Categories!$B:$B,MATCH(E2444,Categories!$A:$A,0)))</f>
        <v/>
      </c>
      <c r="I2444" s="7" t="str">
        <f t="array" ref="I2444">IF(ISBLANK(F2444), "", INDEX(Categories!$B:$B,MATCH(F2444,Categories!$A:$A,0)))</f>
        <v/>
      </c>
      <c r="J2444" s="4"/>
      <c r="K2444" s="4"/>
      <c r="L2444" s="4"/>
      <c r="M2444" s="4"/>
      <c r="N2444" s="4"/>
      <c r="O2444" s="4"/>
      <c r="P2444" s="4"/>
      <c r="Q2444" s="4"/>
    </row>
    <row r="2445">
      <c r="A2445" s="5">
        <v>2444.0</v>
      </c>
      <c r="B2445" s="5" t="s">
        <v>2962</v>
      </c>
      <c r="C2445" s="5" t="s">
        <v>43</v>
      </c>
      <c r="D2445" s="6">
        <f>IFERROR(__xludf.DUMMYFUNCTION("SPLIT(MID(C2445,2,LEN(C2445)-2), "","")"),292.0)</f>
        <v>292</v>
      </c>
      <c r="E2445" s="7"/>
      <c r="F2445" s="7"/>
      <c r="G2445" s="2" t="str">
        <f t="array" ref="G2445">IF(ISBLANK(D2445), "", INDEX(Categories!$B:$B,MATCH(D2445,Categories!$A:$A,0)))</f>
        <v>Banks</v>
      </c>
      <c r="H2445" s="7" t="str">
        <f t="array" ref="H2445">IF(ISBLANK(E2445), "", INDEX(Categories!$B:$B,MATCH(E2445,Categories!$A:$A,0)))</f>
        <v/>
      </c>
      <c r="I2445" s="7" t="str">
        <f t="array" ref="I2445">IF(ISBLANK(F2445), "", INDEX(Categories!$B:$B,MATCH(F2445,Categories!$A:$A,0)))</f>
        <v/>
      </c>
      <c r="J2445" s="4"/>
      <c r="K2445" s="4"/>
      <c r="L2445" s="4"/>
      <c r="M2445" s="4"/>
      <c r="N2445" s="4"/>
      <c r="O2445" s="4"/>
      <c r="P2445" s="4"/>
      <c r="Q2445" s="4"/>
    </row>
    <row r="2446">
      <c r="A2446" s="5">
        <v>2445.0</v>
      </c>
      <c r="B2446" s="5" t="s">
        <v>2963</v>
      </c>
      <c r="C2446" s="5" t="s">
        <v>2742</v>
      </c>
      <c r="D2446" s="6">
        <f>IFERROR(__xludf.DUMMYFUNCTION("SPLIT(MID(C2446,2,LEN(C2446)-2), "","")"),1173.0)</f>
        <v>1173</v>
      </c>
      <c r="E2446" s="7"/>
      <c r="F2446" s="7"/>
      <c r="G2446" s="2" t="str">
        <f t="array" ref="G2446">IF(ISBLANK(D2446), "", INDEX(Categories!$B:$B,MATCH(D2446,Categories!$A:$A,0)))</f>
        <v>Truck Stops</v>
      </c>
      <c r="H2446" s="7" t="str">
        <f t="array" ref="H2446">IF(ISBLANK(E2446), "", INDEX(Categories!$B:$B,MATCH(E2446,Categories!$A:$A,0)))</f>
        <v/>
      </c>
      <c r="I2446" s="7" t="str">
        <f t="array" ref="I2446">IF(ISBLANK(F2446), "", INDEX(Categories!$B:$B,MATCH(F2446,Categories!$A:$A,0)))</f>
        <v/>
      </c>
      <c r="J2446" s="4"/>
      <c r="K2446" s="4"/>
      <c r="L2446" s="4"/>
      <c r="M2446" s="4"/>
      <c r="N2446" s="4"/>
      <c r="O2446" s="4"/>
      <c r="P2446" s="4"/>
      <c r="Q2446" s="4"/>
    </row>
    <row r="2447">
      <c r="A2447" s="5">
        <v>2446.0</v>
      </c>
      <c r="B2447" s="5" t="s">
        <v>2964</v>
      </c>
      <c r="C2447" s="5" t="s">
        <v>2921</v>
      </c>
      <c r="D2447" s="6">
        <f>IFERROR(__xludf.DUMMYFUNCTION("SPLIT(MID(C2447,2,LEN(C2447)-2), "","")"),1144.0)</f>
        <v>1144</v>
      </c>
      <c r="E2447" s="7"/>
      <c r="F2447" s="7"/>
      <c r="G2447" s="2" t="str">
        <f t="array" ref="G2447">IF(ISBLANK(D2447), "", INDEX(Categories!$B:$B,MATCH(D2447,Categories!$A:$A,0)))</f>
        <v>Gasoline Wholesale</v>
      </c>
      <c r="H2447" s="7" t="str">
        <f t="array" ref="H2447">IF(ISBLANK(E2447), "", INDEX(Categories!$B:$B,MATCH(E2447,Categories!$A:$A,0)))</f>
        <v/>
      </c>
      <c r="I2447" s="7" t="str">
        <f t="array" ref="I2447">IF(ISBLANK(F2447), "", INDEX(Categories!$B:$B,MATCH(F2447,Categories!$A:$A,0)))</f>
        <v/>
      </c>
      <c r="J2447" s="4"/>
      <c r="K2447" s="4"/>
      <c r="L2447" s="4"/>
      <c r="M2447" s="4"/>
      <c r="N2447" s="4"/>
      <c r="O2447" s="4"/>
      <c r="P2447" s="4"/>
      <c r="Q2447" s="4"/>
    </row>
    <row r="2448">
      <c r="A2448" s="5">
        <v>2447.0</v>
      </c>
      <c r="B2448" s="5" t="s">
        <v>2965</v>
      </c>
      <c r="C2448" s="5" t="s">
        <v>2966</v>
      </c>
      <c r="D2448" s="6">
        <f>IFERROR(__xludf.DUMMYFUNCTION("SPLIT(MID(C2448,2,LEN(C2448)-2), "","")"),68.0)</f>
        <v>68</v>
      </c>
      <c r="E2448" s="7"/>
      <c r="F2448" s="7"/>
      <c r="G2448" s="2" t="str">
        <f t="array" ref="G2448">IF(ISBLANK(D2448), "", INDEX(Categories!$B:$B,MATCH(D2448,Categories!$A:$A,0)))</f>
        <v>Engines Gasoline</v>
      </c>
      <c r="H2448" s="7" t="str">
        <f t="array" ref="H2448">IF(ISBLANK(E2448), "", INDEX(Categories!$B:$B,MATCH(E2448,Categories!$A:$A,0)))</f>
        <v/>
      </c>
      <c r="I2448" s="7" t="str">
        <f t="array" ref="I2448">IF(ISBLANK(F2448), "", INDEX(Categories!$B:$B,MATCH(F2448,Categories!$A:$A,0)))</f>
        <v/>
      </c>
      <c r="J2448" s="4"/>
      <c r="K2448" s="4"/>
      <c r="L2448" s="4"/>
      <c r="M2448" s="4"/>
      <c r="N2448" s="4"/>
      <c r="O2448" s="4"/>
      <c r="P2448" s="4"/>
      <c r="Q2448" s="4"/>
    </row>
    <row r="2449">
      <c r="A2449" s="5">
        <v>2448.0</v>
      </c>
      <c r="B2449" s="5" t="s">
        <v>2967</v>
      </c>
      <c r="C2449" s="5" t="s">
        <v>2921</v>
      </c>
      <c r="D2449" s="6">
        <f>IFERROR(__xludf.DUMMYFUNCTION("SPLIT(MID(C2449,2,LEN(C2449)-2), "","")"),1144.0)</f>
        <v>1144</v>
      </c>
      <c r="E2449" s="7"/>
      <c r="F2449" s="7"/>
      <c r="G2449" s="2" t="str">
        <f t="array" ref="G2449">IF(ISBLANK(D2449), "", INDEX(Categories!$B:$B,MATCH(D2449,Categories!$A:$A,0)))</f>
        <v>Gasoline Wholesale</v>
      </c>
      <c r="H2449" s="7" t="str">
        <f t="array" ref="H2449">IF(ISBLANK(E2449), "", INDEX(Categories!$B:$B,MATCH(E2449,Categories!$A:$A,0)))</f>
        <v/>
      </c>
      <c r="I2449" s="7" t="str">
        <f t="array" ref="I2449">IF(ISBLANK(F2449), "", INDEX(Categories!$B:$B,MATCH(F2449,Categories!$A:$A,0)))</f>
        <v/>
      </c>
      <c r="J2449" s="4"/>
      <c r="K2449" s="4"/>
      <c r="L2449" s="4"/>
      <c r="M2449" s="4"/>
      <c r="N2449" s="4"/>
      <c r="O2449" s="4"/>
      <c r="P2449" s="4"/>
      <c r="Q2449" s="4"/>
    </row>
    <row r="2450">
      <c r="A2450" s="5">
        <v>2449.0</v>
      </c>
      <c r="B2450" s="5" t="s">
        <v>2968</v>
      </c>
      <c r="C2450" s="5" t="s">
        <v>2613</v>
      </c>
      <c r="D2450" s="6">
        <f>IFERROR(__xludf.DUMMYFUNCTION("SPLIT(MID(C2450,2,LEN(C2450)-2), "","")"),704.0)</f>
        <v>704</v>
      </c>
      <c r="E2450" s="7"/>
      <c r="F2450" s="7"/>
      <c r="G2450" s="2" t="str">
        <f t="array" ref="G2450">IF(ISBLANK(D2450), "", INDEX(Categories!$B:$B,MATCH(D2450,Categories!$A:$A,0)))</f>
        <v>Bowling</v>
      </c>
      <c r="H2450" s="7" t="str">
        <f t="array" ref="H2450">IF(ISBLANK(E2450), "", INDEX(Categories!$B:$B,MATCH(E2450,Categories!$A:$A,0)))</f>
        <v/>
      </c>
      <c r="I2450" s="7" t="str">
        <f t="array" ref="I2450">IF(ISBLANK(F2450), "", INDEX(Categories!$B:$B,MATCH(F2450,Categories!$A:$A,0)))</f>
        <v/>
      </c>
      <c r="J2450" s="4"/>
      <c r="K2450" s="4"/>
      <c r="L2450" s="4"/>
      <c r="M2450" s="4"/>
      <c r="N2450" s="4"/>
      <c r="O2450" s="4"/>
      <c r="P2450" s="4"/>
      <c r="Q2450" s="4"/>
    </row>
    <row r="2451">
      <c r="A2451" s="5">
        <v>2450.0</v>
      </c>
      <c r="B2451" s="5" t="s">
        <v>2969</v>
      </c>
      <c r="C2451" s="5" t="s">
        <v>2613</v>
      </c>
      <c r="D2451" s="6">
        <f>IFERROR(__xludf.DUMMYFUNCTION("SPLIT(MID(C2451,2,LEN(C2451)-2), "","")"),704.0)</f>
        <v>704</v>
      </c>
      <c r="E2451" s="7"/>
      <c r="F2451" s="7"/>
      <c r="G2451" s="2" t="str">
        <f t="array" ref="G2451">IF(ISBLANK(D2451), "", INDEX(Categories!$B:$B,MATCH(D2451,Categories!$A:$A,0)))</f>
        <v>Bowling</v>
      </c>
      <c r="H2451" s="7" t="str">
        <f t="array" ref="H2451">IF(ISBLANK(E2451), "", INDEX(Categories!$B:$B,MATCH(E2451,Categories!$A:$A,0)))</f>
        <v/>
      </c>
      <c r="I2451" s="7" t="str">
        <f t="array" ref="I2451">IF(ISBLANK(F2451), "", INDEX(Categories!$B:$B,MATCH(F2451,Categories!$A:$A,0)))</f>
        <v/>
      </c>
      <c r="J2451" s="4"/>
      <c r="K2451" s="4"/>
      <c r="L2451" s="4"/>
      <c r="M2451" s="4"/>
      <c r="N2451" s="4"/>
      <c r="O2451" s="4"/>
      <c r="P2451" s="4"/>
      <c r="Q2451" s="4"/>
    </row>
    <row r="2452">
      <c r="A2452" s="5">
        <v>2451.0</v>
      </c>
      <c r="B2452" s="5" t="s">
        <v>2970</v>
      </c>
      <c r="C2452" s="5" t="s">
        <v>2613</v>
      </c>
      <c r="D2452" s="6">
        <f>IFERROR(__xludf.DUMMYFUNCTION("SPLIT(MID(C2452,2,LEN(C2452)-2), "","")"),704.0)</f>
        <v>704</v>
      </c>
      <c r="E2452" s="7"/>
      <c r="F2452" s="7"/>
      <c r="G2452" s="2" t="str">
        <f t="array" ref="G2452">IF(ISBLANK(D2452), "", INDEX(Categories!$B:$B,MATCH(D2452,Categories!$A:$A,0)))</f>
        <v>Bowling</v>
      </c>
      <c r="H2452" s="7" t="str">
        <f t="array" ref="H2452">IF(ISBLANK(E2452), "", INDEX(Categories!$B:$B,MATCH(E2452,Categories!$A:$A,0)))</f>
        <v/>
      </c>
      <c r="I2452" s="7" t="str">
        <f t="array" ref="I2452">IF(ISBLANK(F2452), "", INDEX(Categories!$B:$B,MATCH(F2452,Categories!$A:$A,0)))</f>
        <v/>
      </c>
      <c r="J2452" s="4"/>
      <c r="K2452" s="4"/>
      <c r="L2452" s="4"/>
      <c r="M2452" s="4"/>
      <c r="N2452" s="4"/>
      <c r="O2452" s="4"/>
      <c r="P2452" s="4"/>
      <c r="Q2452" s="4"/>
    </row>
    <row r="2453">
      <c r="A2453" s="5">
        <v>2452.0</v>
      </c>
      <c r="B2453" s="5" t="s">
        <v>2971</v>
      </c>
      <c r="C2453" s="5" t="s">
        <v>1966</v>
      </c>
      <c r="D2453" s="6">
        <f>IFERROR(__xludf.DUMMYFUNCTION("SPLIT(MID(C2453,2,LEN(C2453)-2), "","")"),1704.0)</f>
        <v>1704</v>
      </c>
      <c r="E2453" s="7"/>
      <c r="F2453" s="7"/>
      <c r="G2453" s="2" t="str">
        <f t="array" ref="G2453">IF(ISBLANK(D2453), "", INDEX(Categories!$B:$B,MATCH(D2453,Categories!$A:$A,0)))</f>
        <v>Kitchen Accessories</v>
      </c>
      <c r="H2453" s="7" t="str">
        <f t="array" ref="H2453">IF(ISBLANK(E2453), "", INDEX(Categories!$B:$B,MATCH(E2453,Categories!$A:$A,0)))</f>
        <v/>
      </c>
      <c r="I2453" s="7" t="str">
        <f t="array" ref="I2453">IF(ISBLANK(F2453), "", INDEX(Categories!$B:$B,MATCH(F2453,Categories!$A:$A,0)))</f>
        <v/>
      </c>
      <c r="J2453" s="4"/>
      <c r="K2453" s="4"/>
      <c r="L2453" s="4"/>
      <c r="M2453" s="4"/>
      <c r="N2453" s="4"/>
      <c r="O2453" s="4"/>
      <c r="P2453" s="4"/>
      <c r="Q2453" s="4"/>
    </row>
    <row r="2454">
      <c r="A2454" s="5">
        <v>2453.0</v>
      </c>
      <c r="B2454" s="5" t="s">
        <v>2972</v>
      </c>
      <c r="C2454" s="5" t="s">
        <v>2973</v>
      </c>
      <c r="D2454" s="6">
        <f>IFERROR(__xludf.DUMMYFUNCTION("SPLIT(MID(C2454,2,LEN(C2454)-2), "","")"),1749.0)</f>
        <v>1749</v>
      </c>
      <c r="E2454" s="7"/>
      <c r="F2454" s="7"/>
      <c r="G2454" s="2" t="str">
        <f t="array" ref="G2454">IF(ISBLANK(D2454), "", INDEX(Categories!$B:$B,MATCH(D2454,Categories!$A:$A,0)))</f>
        <v>Towing Equipment Automotive</v>
      </c>
      <c r="H2454" s="7" t="str">
        <f t="array" ref="H2454">IF(ISBLANK(E2454), "", INDEX(Categories!$B:$B,MATCH(E2454,Categories!$A:$A,0)))</f>
        <v/>
      </c>
      <c r="I2454" s="7" t="str">
        <f t="array" ref="I2454">IF(ISBLANK(F2454), "", INDEX(Categories!$B:$B,MATCH(F2454,Categories!$A:$A,0)))</f>
        <v/>
      </c>
      <c r="J2454" s="4"/>
      <c r="K2454" s="4"/>
      <c r="L2454" s="4"/>
      <c r="M2454" s="4"/>
      <c r="N2454" s="4"/>
      <c r="O2454" s="4"/>
      <c r="P2454" s="4"/>
      <c r="Q2454" s="4"/>
    </row>
    <row r="2455">
      <c r="A2455" s="5">
        <v>2454.0</v>
      </c>
      <c r="B2455" s="5" t="s">
        <v>2974</v>
      </c>
      <c r="C2455" s="5" t="s">
        <v>87</v>
      </c>
      <c r="D2455" s="6">
        <f>IFERROR(__xludf.DUMMYFUNCTION("SPLIT(MID(C2455,2,LEN(C2455)-2), "","")"),168.0)</f>
        <v>168</v>
      </c>
      <c r="E2455" s="7"/>
      <c r="F2455" s="7"/>
      <c r="G2455" s="2" t="str">
        <f t="array" ref="G2455">IF(ISBLANK(D2455), "", INDEX(Categories!$B:$B,MATCH(D2455,Categories!$A:$A,0)))</f>
        <v>Hotels &amp; Motels</v>
      </c>
      <c r="H2455" s="7" t="str">
        <f t="array" ref="H2455">IF(ISBLANK(E2455), "", INDEX(Categories!$B:$B,MATCH(E2455,Categories!$A:$A,0)))</f>
        <v/>
      </c>
      <c r="I2455" s="7" t="str">
        <f t="array" ref="I2455">IF(ISBLANK(F2455), "", INDEX(Categories!$B:$B,MATCH(F2455,Categories!$A:$A,0)))</f>
        <v/>
      </c>
      <c r="J2455" s="4"/>
      <c r="K2455" s="4"/>
      <c r="L2455" s="4"/>
      <c r="M2455" s="4"/>
      <c r="N2455" s="4"/>
      <c r="O2455" s="4"/>
      <c r="P2455" s="4"/>
      <c r="Q2455" s="4"/>
    </row>
    <row r="2456">
      <c r="A2456" s="5">
        <v>2455.0</v>
      </c>
      <c r="B2456" s="5" t="s">
        <v>2975</v>
      </c>
      <c r="C2456" s="5" t="s">
        <v>1023</v>
      </c>
      <c r="D2456" s="6">
        <f>IFERROR(__xludf.DUMMYFUNCTION("SPLIT(MID(C2456,2,LEN(C2456)-2), "","")"),1023.0)</f>
        <v>1023</v>
      </c>
      <c r="E2456" s="7"/>
      <c r="F2456" s="7"/>
      <c r="G2456" s="2" t="str">
        <f t="array" ref="G2456">IF(ISBLANK(D2456), "", INDEX(Categories!$B:$B,MATCH(D2456,Categories!$A:$A,0)))</f>
        <v>Security Service &amp; Systems</v>
      </c>
      <c r="H2456" s="7" t="str">
        <f t="array" ref="H2456">IF(ISBLANK(E2456), "", INDEX(Categories!$B:$B,MATCH(E2456,Categories!$A:$A,0)))</f>
        <v/>
      </c>
      <c r="I2456" s="7" t="str">
        <f t="array" ref="I2456">IF(ISBLANK(F2456), "", INDEX(Categories!$B:$B,MATCH(F2456,Categories!$A:$A,0)))</f>
        <v/>
      </c>
      <c r="J2456" s="4"/>
      <c r="K2456" s="4"/>
      <c r="L2456" s="4"/>
      <c r="M2456" s="4"/>
      <c r="N2456" s="4"/>
      <c r="O2456" s="4"/>
      <c r="P2456" s="4"/>
      <c r="Q2456" s="4"/>
    </row>
    <row r="2457">
      <c r="A2457" s="5">
        <v>2456.0</v>
      </c>
      <c r="B2457" s="5" t="s">
        <v>2976</v>
      </c>
      <c r="C2457" s="5" t="s">
        <v>760</v>
      </c>
      <c r="D2457" s="6">
        <f>IFERROR(__xludf.DUMMYFUNCTION("SPLIT(MID(C2457,2,LEN(C2457)-2), "","")"),1246.0)</f>
        <v>1246</v>
      </c>
      <c r="E2457" s="7"/>
      <c r="F2457" s="7"/>
      <c r="G2457" s="2" t="str">
        <f t="array" ref="G2457">IF(ISBLANK(D2457), "", INDEX(Categories!$B:$B,MATCH(D2457,Categories!$A:$A,0)))</f>
        <v>Clothing</v>
      </c>
      <c r="H2457" s="7" t="str">
        <f t="array" ref="H2457">IF(ISBLANK(E2457), "", INDEX(Categories!$B:$B,MATCH(E2457,Categories!$A:$A,0)))</f>
        <v/>
      </c>
      <c r="I2457" s="7" t="str">
        <f t="array" ref="I2457">IF(ISBLANK(F2457), "", INDEX(Categories!$B:$B,MATCH(F2457,Categories!$A:$A,0)))</f>
        <v/>
      </c>
      <c r="J2457" s="4"/>
      <c r="K2457" s="4"/>
      <c r="L2457" s="4"/>
      <c r="M2457" s="4"/>
      <c r="N2457" s="4"/>
      <c r="O2457" s="4"/>
      <c r="P2457" s="4"/>
      <c r="Q2457" s="4"/>
    </row>
    <row r="2458">
      <c r="A2458" s="5">
        <v>2457.0</v>
      </c>
      <c r="B2458" s="5" t="s">
        <v>2977</v>
      </c>
      <c r="C2458" s="5" t="s">
        <v>760</v>
      </c>
      <c r="D2458" s="6">
        <f>IFERROR(__xludf.DUMMYFUNCTION("SPLIT(MID(C2458,2,LEN(C2458)-2), "","")"),1246.0)</f>
        <v>1246</v>
      </c>
      <c r="E2458" s="7"/>
      <c r="F2458" s="7"/>
      <c r="G2458" s="2" t="str">
        <f t="array" ref="G2458">IF(ISBLANK(D2458), "", INDEX(Categories!$B:$B,MATCH(D2458,Categories!$A:$A,0)))</f>
        <v>Clothing</v>
      </c>
      <c r="H2458" s="7" t="str">
        <f t="array" ref="H2458">IF(ISBLANK(E2458), "", INDEX(Categories!$B:$B,MATCH(E2458,Categories!$A:$A,0)))</f>
        <v/>
      </c>
      <c r="I2458" s="7" t="str">
        <f t="array" ref="I2458">IF(ISBLANK(F2458), "", INDEX(Categories!$B:$B,MATCH(F2458,Categories!$A:$A,0)))</f>
        <v/>
      </c>
      <c r="J2458" s="4"/>
      <c r="K2458" s="4"/>
      <c r="L2458" s="4"/>
      <c r="M2458" s="4"/>
      <c r="N2458" s="4"/>
      <c r="O2458" s="4"/>
      <c r="P2458" s="4"/>
      <c r="Q2458" s="4"/>
    </row>
    <row r="2459">
      <c r="A2459" s="5">
        <v>2458.0</v>
      </c>
      <c r="B2459" s="5" t="s">
        <v>2978</v>
      </c>
      <c r="C2459" s="5" t="s">
        <v>2979</v>
      </c>
      <c r="D2459" s="6">
        <f>IFERROR(__xludf.DUMMYFUNCTION("SPLIT(MID(C2459,2,LEN(C2459)-2), "","")"),544.0)</f>
        <v>544</v>
      </c>
      <c r="E2459" s="7"/>
      <c r="F2459" s="7"/>
      <c r="G2459" s="2" t="str">
        <f t="array" ref="G2459">IF(ISBLANK(D2459), "", INDEX(Categories!$B:$B,MATCH(D2459,Categories!$A:$A,0)))</f>
        <v>Beauty Salon Equipment &amp; Supplies Wholesale &amp; Manufacturers</v>
      </c>
      <c r="H2459" s="7" t="str">
        <f t="array" ref="H2459">IF(ISBLANK(E2459), "", INDEX(Categories!$B:$B,MATCH(E2459,Categories!$A:$A,0)))</f>
        <v/>
      </c>
      <c r="I2459" s="7" t="str">
        <f t="array" ref="I2459">IF(ISBLANK(F2459), "", INDEX(Categories!$B:$B,MATCH(F2459,Categories!$A:$A,0)))</f>
        <v/>
      </c>
      <c r="J2459" s="4"/>
      <c r="K2459" s="4"/>
      <c r="L2459" s="4"/>
      <c r="M2459" s="4"/>
      <c r="N2459" s="4"/>
      <c r="O2459" s="4"/>
      <c r="P2459" s="4"/>
      <c r="Q2459" s="4"/>
    </row>
    <row r="2460">
      <c r="A2460" s="5">
        <v>2459.0</v>
      </c>
      <c r="B2460" s="5" t="s">
        <v>2980</v>
      </c>
      <c r="C2460" s="5" t="s">
        <v>223</v>
      </c>
      <c r="D2460" s="6">
        <f>IFERROR(__xludf.DUMMYFUNCTION("SPLIT(MID(C2460,2,LEN(C2460)-2), "","")"),545.0)</f>
        <v>545</v>
      </c>
      <c r="E2460" s="7"/>
      <c r="F2460" s="7"/>
      <c r="G2460" s="2" t="str">
        <f t="array" ref="G2460">IF(ISBLANK(D2460), "", INDEX(Categories!$B:$B,MATCH(D2460,Categories!$A:$A,0)))</f>
        <v>Beauty Supplies &amp; Equipment</v>
      </c>
      <c r="H2460" s="7" t="str">
        <f t="array" ref="H2460">IF(ISBLANK(E2460), "", INDEX(Categories!$B:$B,MATCH(E2460,Categories!$A:$A,0)))</f>
        <v/>
      </c>
      <c r="I2460" s="7" t="str">
        <f t="array" ref="I2460">IF(ISBLANK(F2460), "", INDEX(Categories!$B:$B,MATCH(F2460,Categories!$A:$A,0)))</f>
        <v/>
      </c>
      <c r="J2460" s="4"/>
      <c r="K2460" s="4"/>
      <c r="L2460" s="4"/>
      <c r="M2460" s="4"/>
      <c r="N2460" s="4"/>
      <c r="O2460" s="4"/>
      <c r="P2460" s="4"/>
      <c r="Q2460" s="4"/>
    </row>
    <row r="2461">
      <c r="A2461" s="5">
        <v>2460.0</v>
      </c>
      <c r="B2461" s="5" t="s">
        <v>2981</v>
      </c>
      <c r="C2461" s="5" t="s">
        <v>950</v>
      </c>
      <c r="D2461" s="6">
        <f>IFERROR(__xludf.DUMMYFUNCTION("SPLIT(MID(C2461,2,LEN(C2461)-2), "","")"),2093.0)</f>
        <v>2093</v>
      </c>
      <c r="E2461" s="7"/>
      <c r="F2461" s="7"/>
      <c r="G2461" s="2" t="str">
        <f t="array" ref="G2461">IF(ISBLANK(D2461), "", INDEX(Categories!$B:$B,MATCH(D2461,Categories!$A:$A,0)))</f>
        <v>Mattresses &amp; Bedding Retail</v>
      </c>
      <c r="H2461" s="7" t="str">
        <f t="array" ref="H2461">IF(ISBLANK(E2461), "", INDEX(Categories!$B:$B,MATCH(E2461,Categories!$A:$A,0)))</f>
        <v/>
      </c>
      <c r="I2461" s="7" t="str">
        <f t="array" ref="I2461">IF(ISBLANK(F2461), "", INDEX(Categories!$B:$B,MATCH(F2461,Categories!$A:$A,0)))</f>
        <v/>
      </c>
      <c r="J2461" s="4"/>
      <c r="K2461" s="4"/>
      <c r="L2461" s="4"/>
      <c r="M2461" s="4"/>
      <c r="N2461" s="4"/>
      <c r="O2461" s="4"/>
      <c r="P2461" s="4"/>
      <c r="Q2461" s="4"/>
    </row>
    <row r="2462">
      <c r="A2462" s="5">
        <v>2461.0</v>
      </c>
      <c r="B2462" s="5" t="s">
        <v>2982</v>
      </c>
      <c r="C2462" s="5" t="s">
        <v>87</v>
      </c>
      <c r="D2462" s="6">
        <f>IFERROR(__xludf.DUMMYFUNCTION("SPLIT(MID(C2462,2,LEN(C2462)-2), "","")"),168.0)</f>
        <v>168</v>
      </c>
      <c r="E2462" s="7"/>
      <c r="F2462" s="7"/>
      <c r="G2462" s="2" t="str">
        <f t="array" ref="G2462">IF(ISBLANK(D2462), "", INDEX(Categories!$B:$B,MATCH(D2462,Categories!$A:$A,0)))</f>
        <v>Hotels &amp; Motels</v>
      </c>
      <c r="H2462" s="7" t="str">
        <f t="array" ref="H2462">IF(ISBLANK(E2462), "", INDEX(Categories!$B:$B,MATCH(E2462,Categories!$A:$A,0)))</f>
        <v/>
      </c>
      <c r="I2462" s="7" t="str">
        <f t="array" ref="I2462">IF(ISBLANK(F2462), "", INDEX(Categories!$B:$B,MATCH(F2462,Categories!$A:$A,0)))</f>
        <v/>
      </c>
      <c r="J2462" s="4"/>
      <c r="K2462" s="4"/>
      <c r="L2462" s="4"/>
      <c r="M2462" s="4"/>
      <c r="N2462" s="4"/>
      <c r="O2462" s="4"/>
      <c r="P2462" s="4"/>
      <c r="Q2462" s="4"/>
    </row>
    <row r="2463">
      <c r="A2463" s="5">
        <v>2462.0</v>
      </c>
      <c r="B2463" s="5" t="s">
        <v>2983</v>
      </c>
      <c r="C2463" s="5" t="s">
        <v>2984</v>
      </c>
      <c r="D2463" s="6">
        <f>IFERROR(__xludf.DUMMYFUNCTION("SPLIT(MID(C2463,2,LEN(C2463)-2), "","")"),449.0)</f>
        <v>449</v>
      </c>
      <c r="E2463" s="7"/>
      <c r="F2463" s="7"/>
      <c r="G2463" s="2" t="str">
        <f t="array" ref="G2463">IF(ISBLANK(D2463), "", INDEX(Categories!$B:$B,MATCH(D2463,Categories!$A:$A,0)))</f>
        <v>Hair Stylists</v>
      </c>
      <c r="H2463" s="7" t="str">
        <f t="array" ref="H2463">IF(ISBLANK(E2463), "", INDEX(Categories!$B:$B,MATCH(E2463,Categories!$A:$A,0)))</f>
        <v/>
      </c>
      <c r="I2463" s="7" t="str">
        <f t="array" ref="I2463">IF(ISBLANK(F2463), "", INDEX(Categories!$B:$B,MATCH(F2463,Categories!$A:$A,0)))</f>
        <v/>
      </c>
      <c r="J2463" s="4"/>
      <c r="K2463" s="4"/>
      <c r="L2463" s="4"/>
      <c r="M2463" s="4"/>
      <c r="N2463" s="4"/>
      <c r="O2463" s="4"/>
      <c r="P2463" s="4"/>
      <c r="Q2463" s="4"/>
    </row>
    <row r="2464">
      <c r="A2464" s="5">
        <v>2463.0</v>
      </c>
      <c r="B2464" s="5" t="s">
        <v>2985</v>
      </c>
      <c r="C2464" s="5" t="s">
        <v>18</v>
      </c>
      <c r="D2464" s="6">
        <f>IFERROR(__xludf.DUMMYFUNCTION("SPLIT(MID(C2464,2,LEN(C2464)-2), "","")"),121.0)</f>
        <v>121</v>
      </c>
      <c r="E2464" s="7"/>
      <c r="F2464" s="7"/>
      <c r="G2464" s="2" t="str">
        <f t="array" ref="G2464">IF(ISBLANK(D2464), "", INDEX(Categories!$B:$B,MATCH(D2464,Categories!$A:$A,0)))</f>
        <v>Insurance</v>
      </c>
      <c r="H2464" s="7" t="str">
        <f t="array" ref="H2464">IF(ISBLANK(E2464), "", INDEX(Categories!$B:$B,MATCH(E2464,Categories!$A:$A,0)))</f>
        <v/>
      </c>
      <c r="I2464" s="7" t="str">
        <f t="array" ref="I2464">IF(ISBLANK(F2464), "", INDEX(Categories!$B:$B,MATCH(F2464,Categories!$A:$A,0)))</f>
        <v/>
      </c>
      <c r="J2464" s="4"/>
      <c r="K2464" s="4"/>
      <c r="L2464" s="4"/>
      <c r="M2464" s="4"/>
      <c r="N2464" s="4"/>
      <c r="O2464" s="4"/>
      <c r="P2464" s="4"/>
      <c r="Q2464" s="4"/>
    </row>
    <row r="2465">
      <c r="A2465" s="5">
        <v>2464.0</v>
      </c>
      <c r="B2465" s="5" t="s">
        <v>2986</v>
      </c>
      <c r="C2465" s="5" t="s">
        <v>637</v>
      </c>
      <c r="D2465" s="6">
        <f>IFERROR(__xludf.DUMMYFUNCTION("SPLIT(MID(C2465,2,LEN(C2465)-2), "","")"),1527.0)</f>
        <v>1527</v>
      </c>
      <c r="E2465" s="7"/>
      <c r="F2465" s="7"/>
      <c r="G2465" s="2" t="str">
        <f t="array" ref="G2465">IF(ISBLANK(D2465), "", INDEX(Categories!$B:$B,MATCH(D2465,Categories!$A:$A,0)))</f>
        <v>Swimming Pool Equipment &amp; Supplies</v>
      </c>
      <c r="H2465" s="7" t="str">
        <f t="array" ref="H2465">IF(ISBLANK(E2465), "", INDEX(Categories!$B:$B,MATCH(E2465,Categories!$A:$A,0)))</f>
        <v/>
      </c>
      <c r="I2465" s="7" t="str">
        <f t="array" ref="I2465">IF(ISBLANK(F2465), "", INDEX(Categories!$B:$B,MATCH(F2465,Categories!$A:$A,0)))</f>
        <v/>
      </c>
      <c r="J2465" s="4"/>
      <c r="K2465" s="4"/>
      <c r="L2465" s="4"/>
      <c r="M2465" s="4"/>
      <c r="N2465" s="4"/>
      <c r="O2465" s="4"/>
      <c r="P2465" s="4"/>
      <c r="Q2465" s="4"/>
    </row>
    <row r="2466">
      <c r="A2466" s="5">
        <v>2465.0</v>
      </c>
      <c r="B2466" s="5" t="s">
        <v>2987</v>
      </c>
      <c r="C2466" s="5" t="s">
        <v>2270</v>
      </c>
      <c r="D2466" s="6">
        <f>IFERROR(__xludf.DUMMYFUNCTION("SPLIT(MID(C2466,2,LEN(C2466)-2), "","")"),1382.0)</f>
        <v>1382</v>
      </c>
      <c r="E2466" s="7"/>
      <c r="F2466" s="7"/>
      <c r="G2466" s="2" t="str">
        <f t="array" ref="G2466">IF(ISBLANK(D2466), "", INDEX(Categories!$B:$B,MATCH(D2466,Categories!$A:$A,0)))</f>
        <v>Storage Household &amp; Commercial</v>
      </c>
      <c r="H2466" s="7" t="str">
        <f t="array" ref="H2466">IF(ISBLANK(E2466), "", INDEX(Categories!$B:$B,MATCH(E2466,Categories!$A:$A,0)))</f>
        <v/>
      </c>
      <c r="I2466" s="7" t="str">
        <f t="array" ref="I2466">IF(ISBLANK(F2466), "", INDEX(Categories!$B:$B,MATCH(F2466,Categories!$A:$A,0)))</f>
        <v/>
      </c>
      <c r="J2466" s="4"/>
      <c r="K2466" s="4"/>
      <c r="L2466" s="4"/>
      <c r="M2466" s="4"/>
      <c r="N2466" s="4"/>
      <c r="O2466" s="4"/>
      <c r="P2466" s="4"/>
      <c r="Q2466" s="4"/>
    </row>
    <row r="2467">
      <c r="A2467" s="5">
        <v>2466.0</v>
      </c>
      <c r="B2467" s="5" t="s">
        <v>2988</v>
      </c>
      <c r="C2467" s="5" t="s">
        <v>801</v>
      </c>
      <c r="D2467" s="6">
        <f>IFERROR(__xludf.DUMMYFUNCTION("SPLIT(MID(C2467,2,LEN(C2467)-2), "","")"),1886.0)</f>
        <v>1886</v>
      </c>
      <c r="E2467" s="7"/>
      <c r="F2467" s="7"/>
      <c r="G2467" s="2" t="str">
        <f t="array" ref="G2467">IF(ISBLANK(D2467), "", INDEX(Categories!$B:$B,MATCH(D2467,Categories!$A:$A,0)))</f>
        <v>Pet Shops</v>
      </c>
      <c r="H2467" s="7" t="str">
        <f t="array" ref="H2467">IF(ISBLANK(E2467), "", INDEX(Categories!$B:$B,MATCH(E2467,Categories!$A:$A,0)))</f>
        <v/>
      </c>
      <c r="I2467" s="7" t="str">
        <f t="array" ref="I2467">IF(ISBLANK(F2467), "", INDEX(Categories!$B:$B,MATCH(F2467,Categories!$A:$A,0)))</f>
        <v/>
      </c>
      <c r="J2467" s="4"/>
      <c r="K2467" s="4"/>
      <c r="L2467" s="4"/>
      <c r="M2467" s="4"/>
      <c r="N2467" s="4"/>
      <c r="O2467" s="4"/>
      <c r="P2467" s="4"/>
      <c r="Q2467" s="4"/>
    </row>
    <row r="2468">
      <c r="A2468" s="5">
        <v>2467.0</v>
      </c>
      <c r="B2468" s="5" t="s">
        <v>2989</v>
      </c>
      <c r="C2468" s="5" t="s">
        <v>34</v>
      </c>
      <c r="D2468" s="6">
        <f>IFERROR(__xludf.DUMMYFUNCTION("SPLIT(MID(C2468,2,LEN(C2468)-2), "","")"),228.0)</f>
        <v>228</v>
      </c>
      <c r="E2468" s="7"/>
      <c r="F2468" s="7"/>
      <c r="G2468" s="2" t="str">
        <f t="array" ref="G2468">IF(ISBLANK(D2468), "", INDEX(Categories!$B:$B,MATCH(D2468,Categories!$A:$A,0)))</f>
        <v>Restaurants</v>
      </c>
      <c r="H2468" s="7" t="str">
        <f t="array" ref="H2468">IF(ISBLANK(E2468), "", INDEX(Categories!$B:$B,MATCH(E2468,Categories!$A:$A,0)))</f>
        <v/>
      </c>
      <c r="I2468" s="7" t="str">
        <f t="array" ref="I2468">IF(ISBLANK(F2468), "", INDEX(Categories!$B:$B,MATCH(F2468,Categories!$A:$A,0)))</f>
        <v/>
      </c>
      <c r="J2468" s="4"/>
      <c r="K2468" s="4"/>
      <c r="L2468" s="4"/>
      <c r="M2468" s="4"/>
      <c r="N2468" s="4"/>
      <c r="O2468" s="4"/>
      <c r="P2468" s="4"/>
      <c r="Q2468" s="4"/>
    </row>
    <row r="2469">
      <c r="A2469" s="5">
        <v>2468.0</v>
      </c>
      <c r="B2469" s="5" t="s">
        <v>2990</v>
      </c>
      <c r="C2469" s="5" t="s">
        <v>34</v>
      </c>
      <c r="D2469" s="6">
        <f>IFERROR(__xludf.DUMMYFUNCTION("SPLIT(MID(C2469,2,LEN(C2469)-2), "","")"),228.0)</f>
        <v>228</v>
      </c>
      <c r="E2469" s="7"/>
      <c r="F2469" s="7"/>
      <c r="G2469" s="2" t="str">
        <f t="array" ref="G2469">IF(ISBLANK(D2469), "", INDEX(Categories!$B:$B,MATCH(D2469,Categories!$A:$A,0)))</f>
        <v>Restaurants</v>
      </c>
      <c r="H2469" s="7" t="str">
        <f t="array" ref="H2469">IF(ISBLANK(E2469), "", INDEX(Categories!$B:$B,MATCH(E2469,Categories!$A:$A,0)))</f>
        <v/>
      </c>
      <c r="I2469" s="7" t="str">
        <f t="array" ref="I2469">IF(ISBLANK(F2469), "", INDEX(Categories!$B:$B,MATCH(F2469,Categories!$A:$A,0)))</f>
        <v/>
      </c>
      <c r="J2469" s="4"/>
      <c r="K2469" s="4"/>
      <c r="L2469" s="4"/>
      <c r="M2469" s="4"/>
      <c r="N2469" s="4"/>
      <c r="O2469" s="4"/>
      <c r="P2469" s="4"/>
      <c r="Q2469" s="4"/>
    </row>
    <row r="2470">
      <c r="A2470" s="5">
        <v>2469.0</v>
      </c>
      <c r="B2470" s="5" t="s">
        <v>2991</v>
      </c>
      <c r="C2470" s="5" t="s">
        <v>1530</v>
      </c>
      <c r="D2470" s="6">
        <f>IFERROR(__xludf.DUMMYFUNCTION("SPLIT(MID(C2470,2,LEN(C2470)-2), "","")"),239.0)</f>
        <v>239</v>
      </c>
      <c r="E2470" s="7"/>
      <c r="F2470" s="7"/>
      <c r="G2470" s="2" t="str">
        <f t="array" ref="G2470">IF(ISBLANK(D2470), "", INDEX(Categories!$B:$B,MATCH(D2470,Categories!$A:$A,0)))</f>
        <v>Restaurants Dining</v>
      </c>
      <c r="H2470" s="7" t="str">
        <f t="array" ref="H2470">IF(ISBLANK(E2470), "", INDEX(Categories!$B:$B,MATCH(E2470,Categories!$A:$A,0)))</f>
        <v/>
      </c>
      <c r="I2470" s="7" t="str">
        <f t="array" ref="I2470">IF(ISBLANK(F2470), "", INDEX(Categories!$B:$B,MATCH(F2470,Categories!$A:$A,0)))</f>
        <v/>
      </c>
      <c r="J2470" s="4"/>
      <c r="K2470" s="4"/>
      <c r="L2470" s="4"/>
      <c r="M2470" s="4"/>
      <c r="N2470" s="4"/>
      <c r="O2470" s="4"/>
      <c r="P2470" s="4"/>
      <c r="Q2470" s="4"/>
    </row>
    <row r="2471">
      <c r="A2471" s="5">
        <v>2470.0</v>
      </c>
      <c r="B2471" s="5" t="s">
        <v>2992</v>
      </c>
      <c r="C2471" s="5" t="s">
        <v>34</v>
      </c>
      <c r="D2471" s="6">
        <f>IFERROR(__xludf.DUMMYFUNCTION("SPLIT(MID(C2471,2,LEN(C2471)-2), "","")"),228.0)</f>
        <v>228</v>
      </c>
      <c r="E2471" s="7"/>
      <c r="F2471" s="7"/>
      <c r="G2471" s="2" t="str">
        <f t="array" ref="G2471">IF(ISBLANK(D2471), "", INDEX(Categories!$B:$B,MATCH(D2471,Categories!$A:$A,0)))</f>
        <v>Restaurants</v>
      </c>
      <c r="H2471" s="7" t="str">
        <f t="array" ref="H2471">IF(ISBLANK(E2471), "", INDEX(Categories!$B:$B,MATCH(E2471,Categories!$A:$A,0)))</f>
        <v/>
      </c>
      <c r="I2471" s="7" t="str">
        <f t="array" ref="I2471">IF(ISBLANK(F2471), "", INDEX(Categories!$B:$B,MATCH(F2471,Categories!$A:$A,0)))</f>
        <v/>
      </c>
      <c r="J2471" s="4"/>
      <c r="K2471" s="4"/>
      <c r="L2471" s="4"/>
      <c r="M2471" s="4"/>
      <c r="N2471" s="4"/>
      <c r="O2471" s="4"/>
      <c r="P2471" s="4"/>
      <c r="Q2471" s="4"/>
    </row>
    <row r="2472">
      <c r="A2472" s="5">
        <v>2471.0</v>
      </c>
      <c r="B2472" s="5" t="s">
        <v>2993</v>
      </c>
      <c r="C2472" s="5" t="s">
        <v>1530</v>
      </c>
      <c r="D2472" s="6">
        <f>IFERROR(__xludf.DUMMYFUNCTION("SPLIT(MID(C2472,2,LEN(C2472)-2), "","")"),239.0)</f>
        <v>239</v>
      </c>
      <c r="E2472" s="7"/>
      <c r="F2472" s="7"/>
      <c r="G2472" s="2" t="str">
        <f t="array" ref="G2472">IF(ISBLANK(D2472), "", INDEX(Categories!$B:$B,MATCH(D2472,Categories!$A:$A,0)))</f>
        <v>Restaurants Dining</v>
      </c>
      <c r="H2472" s="7" t="str">
        <f t="array" ref="H2472">IF(ISBLANK(E2472), "", INDEX(Categories!$B:$B,MATCH(E2472,Categories!$A:$A,0)))</f>
        <v/>
      </c>
      <c r="I2472" s="7" t="str">
        <f t="array" ref="I2472">IF(ISBLANK(F2472), "", INDEX(Categories!$B:$B,MATCH(F2472,Categories!$A:$A,0)))</f>
        <v/>
      </c>
      <c r="J2472" s="4"/>
      <c r="K2472" s="4"/>
      <c r="L2472" s="4"/>
      <c r="M2472" s="4"/>
      <c r="N2472" s="4"/>
      <c r="O2472" s="4"/>
      <c r="P2472" s="4"/>
      <c r="Q2472" s="4"/>
    </row>
    <row r="2473">
      <c r="A2473" s="5">
        <v>2472.0</v>
      </c>
      <c r="B2473" s="5" t="s">
        <v>2994</v>
      </c>
      <c r="C2473" s="5" t="s">
        <v>34</v>
      </c>
      <c r="D2473" s="6">
        <f>IFERROR(__xludf.DUMMYFUNCTION("SPLIT(MID(C2473,2,LEN(C2473)-2), "","")"),228.0)</f>
        <v>228</v>
      </c>
      <c r="E2473" s="7"/>
      <c r="F2473" s="7"/>
      <c r="G2473" s="2" t="str">
        <f t="array" ref="G2473">IF(ISBLANK(D2473), "", INDEX(Categories!$B:$B,MATCH(D2473,Categories!$A:$A,0)))</f>
        <v>Restaurants</v>
      </c>
      <c r="H2473" s="7" t="str">
        <f t="array" ref="H2473">IF(ISBLANK(E2473), "", INDEX(Categories!$B:$B,MATCH(E2473,Categories!$A:$A,0)))</f>
        <v/>
      </c>
      <c r="I2473" s="7" t="str">
        <f t="array" ref="I2473">IF(ISBLANK(F2473), "", INDEX(Categories!$B:$B,MATCH(F2473,Categories!$A:$A,0)))</f>
        <v/>
      </c>
      <c r="J2473" s="4"/>
      <c r="K2473" s="4"/>
      <c r="L2473" s="4"/>
      <c r="M2473" s="4"/>
      <c r="N2473" s="4"/>
      <c r="O2473" s="4"/>
      <c r="P2473" s="4"/>
      <c r="Q2473" s="4"/>
    </row>
    <row r="2474">
      <c r="A2474" s="5">
        <v>2473.0</v>
      </c>
      <c r="B2474" s="5" t="s">
        <v>2995</v>
      </c>
      <c r="C2474" s="5" t="s">
        <v>249</v>
      </c>
      <c r="D2474" s="6">
        <f>IFERROR(__xludf.DUMMYFUNCTION("SPLIT(MID(C2474,2,LEN(C2474)-2), "","")"),593.0)</f>
        <v>593</v>
      </c>
      <c r="E2474" s="7"/>
      <c r="F2474" s="7"/>
      <c r="G2474" s="2" t="str">
        <f t="array" ref="G2474">IF(ISBLANK(D2474), "", INDEX(Categories!$B:$B,MATCH(D2474,Categories!$A:$A,0)))</f>
        <v>Ice Cream &amp; Frozen Desserts Dealers</v>
      </c>
      <c r="H2474" s="7" t="str">
        <f t="array" ref="H2474">IF(ISBLANK(E2474), "", INDEX(Categories!$B:$B,MATCH(E2474,Categories!$A:$A,0)))</f>
        <v/>
      </c>
      <c r="I2474" s="7" t="str">
        <f t="array" ref="I2474">IF(ISBLANK(F2474), "", INDEX(Categories!$B:$B,MATCH(F2474,Categories!$A:$A,0)))</f>
        <v/>
      </c>
      <c r="J2474" s="4"/>
      <c r="K2474" s="4"/>
      <c r="L2474" s="4"/>
      <c r="M2474" s="4"/>
      <c r="N2474" s="4"/>
      <c r="O2474" s="4"/>
      <c r="P2474" s="4"/>
      <c r="Q2474" s="4"/>
    </row>
    <row r="2475">
      <c r="A2475" s="5">
        <v>2474.0</v>
      </c>
      <c r="B2475" s="5" t="s">
        <v>2996</v>
      </c>
      <c r="C2475" s="5" t="s">
        <v>34</v>
      </c>
      <c r="D2475" s="6">
        <f>IFERROR(__xludf.DUMMYFUNCTION("SPLIT(MID(C2475,2,LEN(C2475)-2), "","")"),228.0)</f>
        <v>228</v>
      </c>
      <c r="E2475" s="7"/>
      <c r="F2475" s="7"/>
      <c r="G2475" s="2" t="str">
        <f t="array" ref="G2475">IF(ISBLANK(D2475), "", INDEX(Categories!$B:$B,MATCH(D2475,Categories!$A:$A,0)))</f>
        <v>Restaurants</v>
      </c>
      <c r="H2475" s="7" t="str">
        <f t="array" ref="H2475">IF(ISBLANK(E2475), "", INDEX(Categories!$B:$B,MATCH(E2475,Categories!$A:$A,0)))</f>
        <v/>
      </c>
      <c r="I2475" s="7" t="str">
        <f t="array" ref="I2475">IF(ISBLANK(F2475), "", INDEX(Categories!$B:$B,MATCH(F2475,Categories!$A:$A,0)))</f>
        <v/>
      </c>
      <c r="J2475" s="4"/>
      <c r="K2475" s="4"/>
      <c r="L2475" s="4"/>
      <c r="M2475" s="4"/>
      <c r="N2475" s="4"/>
      <c r="O2475" s="4"/>
      <c r="P2475" s="4"/>
      <c r="Q2475" s="4"/>
    </row>
    <row r="2476">
      <c r="A2476" s="5">
        <v>2475.0</v>
      </c>
      <c r="B2476" s="5" t="s">
        <v>2997</v>
      </c>
      <c r="C2476" s="5" t="s">
        <v>34</v>
      </c>
      <c r="D2476" s="6">
        <f>IFERROR(__xludf.DUMMYFUNCTION("SPLIT(MID(C2476,2,LEN(C2476)-2), "","")"),228.0)</f>
        <v>228</v>
      </c>
      <c r="E2476" s="7"/>
      <c r="F2476" s="7"/>
      <c r="G2476" s="2" t="str">
        <f t="array" ref="G2476">IF(ISBLANK(D2476), "", INDEX(Categories!$B:$B,MATCH(D2476,Categories!$A:$A,0)))</f>
        <v>Restaurants</v>
      </c>
      <c r="H2476" s="7" t="str">
        <f t="array" ref="H2476">IF(ISBLANK(E2476), "", INDEX(Categories!$B:$B,MATCH(E2476,Categories!$A:$A,0)))</f>
        <v/>
      </c>
      <c r="I2476" s="7" t="str">
        <f t="array" ref="I2476">IF(ISBLANK(F2476), "", INDEX(Categories!$B:$B,MATCH(F2476,Categories!$A:$A,0)))</f>
        <v/>
      </c>
      <c r="J2476" s="4"/>
      <c r="K2476" s="4"/>
      <c r="L2476" s="4"/>
      <c r="M2476" s="4"/>
      <c r="N2476" s="4"/>
      <c r="O2476" s="4"/>
      <c r="P2476" s="4"/>
      <c r="Q2476" s="4"/>
    </row>
    <row r="2477">
      <c r="A2477" s="5">
        <v>2476.0</v>
      </c>
      <c r="B2477" s="5" t="s">
        <v>2998</v>
      </c>
      <c r="C2477" s="5" t="s">
        <v>2999</v>
      </c>
      <c r="D2477" s="6">
        <f>IFERROR(__xludf.DUMMYFUNCTION("SPLIT(MID(C2477,2,LEN(C2477)-2), "","")"),581.0)</f>
        <v>581</v>
      </c>
      <c r="E2477" s="7"/>
      <c r="F2477" s="7"/>
      <c r="G2477" s="2" t="str">
        <f t="array" ref="G2477">IF(ISBLANK(D2477), "", INDEX(Categories!$B:$B,MATCH(D2477,Categories!$A:$A,0)))</f>
        <v>Coffee &amp; Tea Wholesale</v>
      </c>
      <c r="H2477" s="7" t="str">
        <f t="array" ref="H2477">IF(ISBLANK(E2477), "", INDEX(Categories!$B:$B,MATCH(E2477,Categories!$A:$A,0)))</f>
        <v/>
      </c>
      <c r="I2477" s="7" t="str">
        <f t="array" ref="I2477">IF(ISBLANK(F2477), "", INDEX(Categories!$B:$B,MATCH(F2477,Categories!$A:$A,0)))</f>
        <v/>
      </c>
      <c r="J2477" s="4"/>
      <c r="K2477" s="4"/>
      <c r="L2477" s="4"/>
      <c r="M2477" s="4"/>
      <c r="N2477" s="4"/>
      <c r="O2477" s="4"/>
      <c r="P2477" s="4"/>
      <c r="Q2477" s="4"/>
    </row>
    <row r="2478">
      <c r="A2478" s="5">
        <v>2477.0</v>
      </c>
      <c r="B2478" s="5" t="s">
        <v>3000</v>
      </c>
      <c r="C2478" s="5" t="s">
        <v>62</v>
      </c>
      <c r="D2478" s="6">
        <f>IFERROR(__xludf.DUMMYFUNCTION("SPLIT(MID(C2478,2,LEN(C2478)-2), "","")"),242.0)</f>
        <v>242</v>
      </c>
      <c r="E2478" s="7"/>
      <c r="F2478" s="7"/>
      <c r="G2478" s="2" t="str">
        <f t="array" ref="G2478">IF(ISBLANK(D2478), "", INDEX(Categories!$B:$B,MATCH(D2478,Categories!$A:$A,0)))</f>
        <v>Restaurants Pizza</v>
      </c>
      <c r="H2478" s="7" t="str">
        <f t="array" ref="H2478">IF(ISBLANK(E2478), "", INDEX(Categories!$B:$B,MATCH(E2478,Categories!$A:$A,0)))</f>
        <v/>
      </c>
      <c r="I2478" s="7" t="str">
        <f t="array" ref="I2478">IF(ISBLANK(F2478), "", INDEX(Categories!$B:$B,MATCH(F2478,Categories!$A:$A,0)))</f>
        <v/>
      </c>
      <c r="J2478" s="4"/>
      <c r="K2478" s="4"/>
      <c r="L2478" s="4"/>
      <c r="M2478" s="4"/>
      <c r="N2478" s="4"/>
      <c r="O2478" s="4"/>
      <c r="P2478" s="4"/>
      <c r="Q2478" s="4"/>
    </row>
    <row r="2479">
      <c r="A2479" s="5">
        <v>2478.0</v>
      </c>
      <c r="B2479" s="5" t="s">
        <v>3001</v>
      </c>
      <c r="C2479" s="5" t="s">
        <v>34</v>
      </c>
      <c r="D2479" s="6">
        <f>IFERROR(__xludf.DUMMYFUNCTION("SPLIT(MID(C2479,2,LEN(C2479)-2), "","")"),228.0)</f>
        <v>228</v>
      </c>
      <c r="E2479" s="7"/>
      <c r="F2479" s="7"/>
      <c r="G2479" s="2" t="str">
        <f t="array" ref="G2479">IF(ISBLANK(D2479), "", INDEX(Categories!$B:$B,MATCH(D2479,Categories!$A:$A,0)))</f>
        <v>Restaurants</v>
      </c>
      <c r="H2479" s="7" t="str">
        <f t="array" ref="H2479">IF(ISBLANK(E2479), "", INDEX(Categories!$B:$B,MATCH(E2479,Categories!$A:$A,0)))</f>
        <v/>
      </c>
      <c r="I2479" s="7" t="str">
        <f t="array" ref="I2479">IF(ISBLANK(F2479), "", INDEX(Categories!$B:$B,MATCH(F2479,Categories!$A:$A,0)))</f>
        <v/>
      </c>
      <c r="J2479" s="4"/>
      <c r="K2479" s="4"/>
      <c r="L2479" s="4"/>
      <c r="M2479" s="4"/>
      <c r="N2479" s="4"/>
      <c r="O2479" s="4"/>
      <c r="P2479" s="4"/>
      <c r="Q2479" s="4"/>
    </row>
    <row r="2480">
      <c r="A2480" s="5">
        <v>2479.0</v>
      </c>
      <c r="B2480" s="5" t="s">
        <v>3002</v>
      </c>
      <c r="C2480" s="5" t="s">
        <v>45</v>
      </c>
      <c r="D2480" s="6">
        <f>IFERROR(__xludf.DUMMYFUNCTION("SPLIT(MID(C2480,2,LEN(C2480)-2), "","")"),234.0)</f>
        <v>234</v>
      </c>
      <c r="E2480" s="7"/>
      <c r="F2480" s="7"/>
      <c r="G2480" s="2" t="str">
        <f t="array" ref="G2480">IF(ISBLANK(D2480), "", INDEX(Categories!$B:$B,MATCH(D2480,Categories!$A:$A,0)))</f>
        <v>Ice Cream Parlors Consumer</v>
      </c>
      <c r="H2480" s="7" t="str">
        <f t="array" ref="H2480">IF(ISBLANK(E2480), "", INDEX(Categories!$B:$B,MATCH(E2480,Categories!$A:$A,0)))</f>
        <v/>
      </c>
      <c r="I2480" s="7" t="str">
        <f t="array" ref="I2480">IF(ISBLANK(F2480), "", INDEX(Categories!$B:$B,MATCH(F2480,Categories!$A:$A,0)))</f>
        <v/>
      </c>
      <c r="J2480" s="4"/>
      <c r="K2480" s="4"/>
      <c r="L2480" s="4"/>
      <c r="M2480" s="4"/>
      <c r="N2480" s="4"/>
      <c r="O2480" s="4"/>
      <c r="P2480" s="4"/>
      <c r="Q2480" s="4"/>
    </row>
    <row r="2481">
      <c r="A2481" s="5">
        <v>2480.0</v>
      </c>
      <c r="B2481" s="5" t="s">
        <v>3003</v>
      </c>
      <c r="C2481" s="5" t="s">
        <v>62</v>
      </c>
      <c r="D2481" s="6">
        <f>IFERROR(__xludf.DUMMYFUNCTION("SPLIT(MID(C2481,2,LEN(C2481)-2), "","")"),242.0)</f>
        <v>242</v>
      </c>
      <c r="E2481" s="7"/>
      <c r="F2481" s="7"/>
      <c r="G2481" s="2" t="str">
        <f t="array" ref="G2481">IF(ISBLANK(D2481), "", INDEX(Categories!$B:$B,MATCH(D2481,Categories!$A:$A,0)))</f>
        <v>Restaurants Pizza</v>
      </c>
      <c r="H2481" s="7" t="str">
        <f t="array" ref="H2481">IF(ISBLANK(E2481), "", INDEX(Categories!$B:$B,MATCH(E2481,Categories!$A:$A,0)))</f>
        <v/>
      </c>
      <c r="I2481" s="7" t="str">
        <f t="array" ref="I2481">IF(ISBLANK(F2481), "", INDEX(Categories!$B:$B,MATCH(F2481,Categories!$A:$A,0)))</f>
        <v/>
      </c>
      <c r="J2481" s="4"/>
      <c r="K2481" s="4"/>
      <c r="L2481" s="4"/>
      <c r="M2481" s="4"/>
      <c r="N2481" s="4"/>
      <c r="O2481" s="4"/>
      <c r="P2481" s="4"/>
      <c r="Q2481" s="4"/>
    </row>
    <row r="2482">
      <c r="A2482" s="5">
        <v>2481.0</v>
      </c>
      <c r="B2482" s="5" t="s">
        <v>3004</v>
      </c>
      <c r="C2482" s="5" t="s">
        <v>60</v>
      </c>
      <c r="D2482" s="6">
        <f>IFERROR(__xludf.DUMMYFUNCTION("SPLIT(MID(C2482,2,LEN(C2482)-2), "","")"),240.0)</f>
        <v>240</v>
      </c>
      <c r="E2482" s="7"/>
      <c r="F2482" s="7"/>
      <c r="G2482" s="2" t="str">
        <f t="array" ref="G2482">IF(ISBLANK(D2482), "", INDEX(Categories!$B:$B,MATCH(D2482,Categories!$A:$A,0)))</f>
        <v>Restaurants Fast Food</v>
      </c>
      <c r="H2482" s="7" t="str">
        <f t="array" ref="H2482">IF(ISBLANK(E2482), "", INDEX(Categories!$B:$B,MATCH(E2482,Categories!$A:$A,0)))</f>
        <v/>
      </c>
      <c r="I2482" s="7" t="str">
        <f t="array" ref="I2482">IF(ISBLANK(F2482), "", INDEX(Categories!$B:$B,MATCH(F2482,Categories!$A:$A,0)))</f>
        <v/>
      </c>
      <c r="J2482" s="4"/>
      <c r="K2482" s="4"/>
      <c r="L2482" s="4"/>
      <c r="M2482" s="4"/>
      <c r="N2482" s="4"/>
      <c r="O2482" s="4"/>
      <c r="P2482" s="4"/>
      <c r="Q2482" s="4"/>
    </row>
    <row r="2483">
      <c r="A2483" s="5">
        <v>2482.0</v>
      </c>
      <c r="B2483" s="5" t="s">
        <v>3005</v>
      </c>
      <c r="C2483" s="5" t="s">
        <v>62</v>
      </c>
      <c r="D2483" s="6">
        <f>IFERROR(__xludf.DUMMYFUNCTION("SPLIT(MID(C2483,2,LEN(C2483)-2), "","")"),242.0)</f>
        <v>242</v>
      </c>
      <c r="E2483" s="7"/>
      <c r="F2483" s="7"/>
      <c r="G2483" s="2" t="str">
        <f t="array" ref="G2483">IF(ISBLANK(D2483), "", INDEX(Categories!$B:$B,MATCH(D2483,Categories!$A:$A,0)))</f>
        <v>Restaurants Pizza</v>
      </c>
      <c r="H2483" s="7" t="str">
        <f t="array" ref="H2483">IF(ISBLANK(E2483), "", INDEX(Categories!$B:$B,MATCH(E2483,Categories!$A:$A,0)))</f>
        <v/>
      </c>
      <c r="I2483" s="7" t="str">
        <f t="array" ref="I2483">IF(ISBLANK(F2483), "", INDEX(Categories!$B:$B,MATCH(F2483,Categories!$A:$A,0)))</f>
        <v/>
      </c>
      <c r="J2483" s="4"/>
      <c r="K2483" s="4"/>
      <c r="L2483" s="4"/>
      <c r="M2483" s="4"/>
      <c r="N2483" s="4"/>
      <c r="O2483" s="4"/>
      <c r="P2483" s="4"/>
      <c r="Q2483" s="4"/>
    </row>
    <row r="2484">
      <c r="A2484" s="5">
        <v>2483.0</v>
      </c>
      <c r="B2484" s="5" t="s">
        <v>3006</v>
      </c>
      <c r="C2484" s="5" t="s">
        <v>34</v>
      </c>
      <c r="D2484" s="6">
        <f>IFERROR(__xludf.DUMMYFUNCTION("SPLIT(MID(C2484,2,LEN(C2484)-2), "","")"),228.0)</f>
        <v>228</v>
      </c>
      <c r="E2484" s="7"/>
      <c r="F2484" s="7"/>
      <c r="G2484" s="2" t="str">
        <f t="array" ref="G2484">IF(ISBLANK(D2484), "", INDEX(Categories!$B:$B,MATCH(D2484,Categories!$A:$A,0)))</f>
        <v>Restaurants</v>
      </c>
      <c r="H2484" s="7" t="str">
        <f t="array" ref="H2484">IF(ISBLANK(E2484), "", INDEX(Categories!$B:$B,MATCH(E2484,Categories!$A:$A,0)))</f>
        <v/>
      </c>
      <c r="I2484" s="7" t="str">
        <f t="array" ref="I2484">IF(ISBLANK(F2484), "", INDEX(Categories!$B:$B,MATCH(F2484,Categories!$A:$A,0)))</f>
        <v/>
      </c>
      <c r="J2484" s="4"/>
      <c r="K2484" s="4"/>
      <c r="L2484" s="4"/>
      <c r="M2484" s="4"/>
      <c r="N2484" s="4"/>
      <c r="O2484" s="4"/>
      <c r="P2484" s="4"/>
      <c r="Q2484" s="4"/>
    </row>
    <row r="2485">
      <c r="A2485" s="5">
        <v>2484.0</v>
      </c>
      <c r="B2485" s="5" t="s">
        <v>3007</v>
      </c>
      <c r="C2485" s="5" t="s">
        <v>484</v>
      </c>
      <c r="D2485" s="6">
        <f>IFERROR(__xludf.DUMMYFUNCTION("SPLIT(MID(C2485,2,LEN(C2485)-2), "","")"),573.0)</f>
        <v>573</v>
      </c>
      <c r="E2485" s="7"/>
      <c r="F2485" s="7"/>
      <c r="G2485" s="2" t="str">
        <f t="array" ref="G2485">IF(ISBLANK(D2485), "", INDEX(Categories!$B:$B,MATCH(D2485,Categories!$A:$A,0)))</f>
        <v>Bagels</v>
      </c>
      <c r="H2485" s="7" t="str">
        <f t="array" ref="H2485">IF(ISBLANK(E2485), "", INDEX(Categories!$B:$B,MATCH(E2485,Categories!$A:$A,0)))</f>
        <v/>
      </c>
      <c r="I2485" s="7" t="str">
        <f t="array" ref="I2485">IF(ISBLANK(F2485), "", INDEX(Categories!$B:$B,MATCH(F2485,Categories!$A:$A,0)))</f>
        <v/>
      </c>
      <c r="J2485" s="4"/>
      <c r="K2485" s="4"/>
      <c r="L2485" s="4"/>
      <c r="M2485" s="4"/>
      <c r="N2485" s="4"/>
      <c r="O2485" s="4"/>
      <c r="P2485" s="4"/>
      <c r="Q2485" s="4"/>
    </row>
    <row r="2486">
      <c r="A2486" s="5">
        <v>2485.0</v>
      </c>
      <c r="B2486" s="5" t="s">
        <v>3008</v>
      </c>
      <c r="C2486" s="5" t="s">
        <v>62</v>
      </c>
      <c r="D2486" s="6">
        <f>IFERROR(__xludf.DUMMYFUNCTION("SPLIT(MID(C2486,2,LEN(C2486)-2), "","")"),242.0)</f>
        <v>242</v>
      </c>
      <c r="E2486" s="7"/>
      <c r="F2486" s="7"/>
      <c r="G2486" s="2" t="str">
        <f t="array" ref="G2486">IF(ISBLANK(D2486), "", INDEX(Categories!$B:$B,MATCH(D2486,Categories!$A:$A,0)))</f>
        <v>Restaurants Pizza</v>
      </c>
      <c r="H2486" s="7" t="str">
        <f t="array" ref="H2486">IF(ISBLANK(E2486), "", INDEX(Categories!$B:$B,MATCH(E2486,Categories!$A:$A,0)))</f>
        <v/>
      </c>
      <c r="I2486" s="7" t="str">
        <f t="array" ref="I2486">IF(ISBLANK(F2486), "", INDEX(Categories!$B:$B,MATCH(F2486,Categories!$A:$A,0)))</f>
        <v/>
      </c>
      <c r="J2486" s="4"/>
      <c r="K2486" s="4"/>
      <c r="L2486" s="4"/>
      <c r="M2486" s="4"/>
      <c r="N2486" s="4"/>
      <c r="O2486" s="4"/>
      <c r="P2486" s="4"/>
      <c r="Q2486" s="4"/>
    </row>
    <row r="2487">
      <c r="A2487" s="5">
        <v>2486.0</v>
      </c>
      <c r="B2487" s="5" t="s">
        <v>3009</v>
      </c>
      <c r="C2487" s="5" t="s">
        <v>34</v>
      </c>
      <c r="D2487" s="6">
        <f>IFERROR(__xludf.DUMMYFUNCTION("SPLIT(MID(C2487,2,LEN(C2487)-2), "","")"),228.0)</f>
        <v>228</v>
      </c>
      <c r="E2487" s="7"/>
      <c r="F2487" s="7"/>
      <c r="G2487" s="2" t="str">
        <f t="array" ref="G2487">IF(ISBLANK(D2487), "", INDEX(Categories!$B:$B,MATCH(D2487,Categories!$A:$A,0)))</f>
        <v>Restaurants</v>
      </c>
      <c r="H2487" s="7" t="str">
        <f t="array" ref="H2487">IF(ISBLANK(E2487), "", INDEX(Categories!$B:$B,MATCH(E2487,Categories!$A:$A,0)))</f>
        <v/>
      </c>
      <c r="I2487" s="7" t="str">
        <f t="array" ref="I2487">IF(ISBLANK(F2487), "", INDEX(Categories!$B:$B,MATCH(F2487,Categories!$A:$A,0)))</f>
        <v/>
      </c>
      <c r="J2487" s="4"/>
      <c r="K2487" s="4"/>
      <c r="L2487" s="4"/>
      <c r="M2487" s="4"/>
      <c r="N2487" s="4"/>
      <c r="O2487" s="4"/>
      <c r="P2487" s="4"/>
      <c r="Q2487" s="4"/>
    </row>
    <row r="2488">
      <c r="A2488" s="5">
        <v>2487.0</v>
      </c>
      <c r="B2488" s="5" t="s">
        <v>3010</v>
      </c>
      <c r="C2488" s="5" t="s">
        <v>249</v>
      </c>
      <c r="D2488" s="6">
        <f>IFERROR(__xludf.DUMMYFUNCTION("SPLIT(MID(C2488,2,LEN(C2488)-2), "","")"),593.0)</f>
        <v>593</v>
      </c>
      <c r="E2488" s="7"/>
      <c r="F2488" s="7"/>
      <c r="G2488" s="2" t="str">
        <f t="array" ref="G2488">IF(ISBLANK(D2488), "", INDEX(Categories!$B:$B,MATCH(D2488,Categories!$A:$A,0)))</f>
        <v>Ice Cream &amp; Frozen Desserts Dealers</v>
      </c>
      <c r="H2488" s="7" t="str">
        <f t="array" ref="H2488">IF(ISBLANK(E2488), "", INDEX(Categories!$B:$B,MATCH(E2488,Categories!$A:$A,0)))</f>
        <v/>
      </c>
      <c r="I2488" s="7" t="str">
        <f t="array" ref="I2488">IF(ISBLANK(F2488), "", INDEX(Categories!$B:$B,MATCH(F2488,Categories!$A:$A,0)))</f>
        <v/>
      </c>
      <c r="J2488" s="4"/>
      <c r="K2488" s="4"/>
      <c r="L2488" s="4"/>
      <c r="M2488" s="4"/>
      <c r="N2488" s="4"/>
      <c r="O2488" s="4"/>
      <c r="P2488" s="4"/>
      <c r="Q2488" s="4"/>
    </row>
    <row r="2489">
      <c r="A2489" s="5">
        <v>2488.0</v>
      </c>
      <c r="B2489" s="5" t="s">
        <v>3011</v>
      </c>
      <c r="C2489" s="5" t="s">
        <v>34</v>
      </c>
      <c r="D2489" s="6">
        <f>IFERROR(__xludf.DUMMYFUNCTION("SPLIT(MID(C2489,2,LEN(C2489)-2), "","")"),228.0)</f>
        <v>228</v>
      </c>
      <c r="E2489" s="7"/>
      <c r="F2489" s="7"/>
      <c r="G2489" s="2" t="str">
        <f t="array" ref="G2489">IF(ISBLANK(D2489), "", INDEX(Categories!$B:$B,MATCH(D2489,Categories!$A:$A,0)))</f>
        <v>Restaurants</v>
      </c>
      <c r="H2489" s="7" t="str">
        <f t="array" ref="H2489">IF(ISBLANK(E2489), "", INDEX(Categories!$B:$B,MATCH(E2489,Categories!$A:$A,0)))</f>
        <v/>
      </c>
      <c r="I2489" s="7" t="str">
        <f t="array" ref="I2489">IF(ISBLANK(F2489), "", INDEX(Categories!$B:$B,MATCH(F2489,Categories!$A:$A,0)))</f>
        <v/>
      </c>
      <c r="J2489" s="4"/>
      <c r="K2489" s="4"/>
      <c r="L2489" s="4"/>
      <c r="M2489" s="4"/>
      <c r="N2489" s="4"/>
      <c r="O2489" s="4"/>
      <c r="P2489" s="4"/>
      <c r="Q2489" s="4"/>
    </row>
    <row r="2490">
      <c r="A2490" s="5">
        <v>2489.0</v>
      </c>
      <c r="B2490" s="5" t="s">
        <v>3012</v>
      </c>
      <c r="C2490" s="5" t="s">
        <v>34</v>
      </c>
      <c r="D2490" s="6">
        <f>IFERROR(__xludf.DUMMYFUNCTION("SPLIT(MID(C2490,2,LEN(C2490)-2), "","")"),228.0)</f>
        <v>228</v>
      </c>
      <c r="E2490" s="7"/>
      <c r="F2490" s="7"/>
      <c r="G2490" s="2" t="str">
        <f t="array" ref="G2490">IF(ISBLANK(D2490), "", INDEX(Categories!$B:$B,MATCH(D2490,Categories!$A:$A,0)))</f>
        <v>Restaurants</v>
      </c>
      <c r="H2490" s="7" t="str">
        <f t="array" ref="H2490">IF(ISBLANK(E2490), "", INDEX(Categories!$B:$B,MATCH(E2490,Categories!$A:$A,0)))</f>
        <v/>
      </c>
      <c r="I2490" s="7" t="str">
        <f t="array" ref="I2490">IF(ISBLANK(F2490), "", INDEX(Categories!$B:$B,MATCH(F2490,Categories!$A:$A,0)))</f>
        <v/>
      </c>
      <c r="J2490" s="4"/>
      <c r="K2490" s="4"/>
      <c r="L2490" s="4"/>
      <c r="M2490" s="4"/>
      <c r="N2490" s="4"/>
      <c r="O2490" s="4"/>
      <c r="P2490" s="4"/>
      <c r="Q2490" s="4"/>
    </row>
    <row r="2491">
      <c r="A2491" s="5">
        <v>2490.0</v>
      </c>
      <c r="B2491" s="5" t="s">
        <v>3013</v>
      </c>
      <c r="C2491" s="5" t="s">
        <v>34</v>
      </c>
      <c r="D2491" s="6">
        <f>IFERROR(__xludf.DUMMYFUNCTION("SPLIT(MID(C2491,2,LEN(C2491)-2), "","")"),228.0)</f>
        <v>228</v>
      </c>
      <c r="E2491" s="7"/>
      <c r="F2491" s="7"/>
      <c r="G2491" s="2" t="str">
        <f t="array" ref="G2491">IF(ISBLANK(D2491), "", INDEX(Categories!$B:$B,MATCH(D2491,Categories!$A:$A,0)))</f>
        <v>Restaurants</v>
      </c>
      <c r="H2491" s="7" t="str">
        <f t="array" ref="H2491">IF(ISBLANK(E2491), "", INDEX(Categories!$B:$B,MATCH(E2491,Categories!$A:$A,0)))</f>
        <v/>
      </c>
      <c r="I2491" s="7" t="str">
        <f t="array" ref="I2491">IF(ISBLANK(F2491), "", INDEX(Categories!$B:$B,MATCH(F2491,Categories!$A:$A,0)))</f>
        <v/>
      </c>
      <c r="J2491" s="4"/>
      <c r="K2491" s="4"/>
      <c r="L2491" s="4"/>
      <c r="M2491" s="4"/>
      <c r="N2491" s="4"/>
      <c r="O2491" s="4"/>
      <c r="P2491" s="4"/>
      <c r="Q2491" s="4"/>
    </row>
    <row r="2492">
      <c r="A2492" s="5">
        <v>2491.0</v>
      </c>
      <c r="B2492" s="5" t="s">
        <v>3014</v>
      </c>
      <c r="C2492" s="5" t="s">
        <v>34</v>
      </c>
      <c r="D2492" s="6">
        <f>IFERROR(__xludf.DUMMYFUNCTION("SPLIT(MID(C2492,2,LEN(C2492)-2), "","")"),228.0)</f>
        <v>228</v>
      </c>
      <c r="E2492" s="7"/>
      <c r="F2492" s="7"/>
      <c r="G2492" s="2" t="str">
        <f t="array" ref="G2492">IF(ISBLANK(D2492), "", INDEX(Categories!$B:$B,MATCH(D2492,Categories!$A:$A,0)))</f>
        <v>Restaurants</v>
      </c>
      <c r="H2492" s="7" t="str">
        <f t="array" ref="H2492">IF(ISBLANK(E2492), "", INDEX(Categories!$B:$B,MATCH(E2492,Categories!$A:$A,0)))</f>
        <v/>
      </c>
      <c r="I2492" s="7" t="str">
        <f t="array" ref="I2492">IF(ISBLANK(F2492), "", INDEX(Categories!$B:$B,MATCH(F2492,Categories!$A:$A,0)))</f>
        <v/>
      </c>
      <c r="J2492" s="4"/>
      <c r="K2492" s="4"/>
      <c r="L2492" s="4"/>
      <c r="M2492" s="4"/>
      <c r="N2492" s="4"/>
      <c r="O2492" s="4"/>
      <c r="P2492" s="4"/>
      <c r="Q2492" s="4"/>
    </row>
    <row r="2493">
      <c r="A2493" s="5">
        <v>2492.0</v>
      </c>
      <c r="B2493" s="5" t="s">
        <v>3015</v>
      </c>
      <c r="C2493" s="5" t="s">
        <v>3016</v>
      </c>
      <c r="D2493" s="6">
        <f>IFERROR(__xludf.DUMMYFUNCTION("SPLIT(MID(C2493,2,LEN(C2493)-2), "","")"),1351.0)</f>
        <v>1351</v>
      </c>
      <c r="E2493" s="7"/>
      <c r="F2493" s="7"/>
      <c r="G2493" s="2" t="str">
        <f t="array" ref="G2493">IF(ISBLANK(D2493), "", INDEX(Categories!$B:$B,MATCH(D2493,Categories!$A:$A,0)))</f>
        <v>Ethnic Foods</v>
      </c>
      <c r="H2493" s="7" t="str">
        <f t="array" ref="H2493">IF(ISBLANK(E2493), "", INDEX(Categories!$B:$B,MATCH(E2493,Categories!$A:$A,0)))</f>
        <v/>
      </c>
      <c r="I2493" s="7" t="str">
        <f t="array" ref="I2493">IF(ISBLANK(F2493), "", INDEX(Categories!$B:$B,MATCH(F2493,Categories!$A:$A,0)))</f>
        <v/>
      </c>
      <c r="J2493" s="4"/>
      <c r="K2493" s="4"/>
      <c r="L2493" s="4"/>
      <c r="M2493" s="4"/>
      <c r="N2493" s="4"/>
      <c r="O2493" s="4"/>
      <c r="P2493" s="4"/>
      <c r="Q2493" s="4"/>
    </row>
    <row r="2494">
      <c r="A2494" s="5">
        <v>2493.0</v>
      </c>
      <c r="B2494" s="5" t="s">
        <v>3017</v>
      </c>
      <c r="C2494" s="5" t="s">
        <v>34</v>
      </c>
      <c r="D2494" s="6">
        <f>IFERROR(__xludf.DUMMYFUNCTION("SPLIT(MID(C2494,2,LEN(C2494)-2), "","")"),228.0)</f>
        <v>228</v>
      </c>
      <c r="E2494" s="7"/>
      <c r="F2494" s="7"/>
      <c r="G2494" s="2" t="str">
        <f t="array" ref="G2494">IF(ISBLANK(D2494), "", INDEX(Categories!$B:$B,MATCH(D2494,Categories!$A:$A,0)))</f>
        <v>Restaurants</v>
      </c>
      <c r="H2494" s="7" t="str">
        <f t="array" ref="H2494">IF(ISBLANK(E2494), "", INDEX(Categories!$B:$B,MATCH(E2494,Categories!$A:$A,0)))</f>
        <v/>
      </c>
      <c r="I2494" s="7" t="str">
        <f t="array" ref="I2494">IF(ISBLANK(F2494), "", INDEX(Categories!$B:$B,MATCH(F2494,Categories!$A:$A,0)))</f>
        <v/>
      </c>
      <c r="J2494" s="4"/>
      <c r="K2494" s="4"/>
      <c r="L2494" s="4"/>
      <c r="M2494" s="4"/>
      <c r="N2494" s="4"/>
      <c r="O2494" s="4"/>
      <c r="P2494" s="4"/>
      <c r="Q2494" s="4"/>
    </row>
    <row r="2495">
      <c r="A2495" s="5">
        <v>2494.0</v>
      </c>
      <c r="B2495" s="5" t="s">
        <v>3018</v>
      </c>
      <c r="C2495" s="5" t="s">
        <v>34</v>
      </c>
      <c r="D2495" s="6">
        <f>IFERROR(__xludf.DUMMYFUNCTION("SPLIT(MID(C2495,2,LEN(C2495)-2), "","")"),228.0)</f>
        <v>228</v>
      </c>
      <c r="E2495" s="7"/>
      <c r="F2495" s="7"/>
      <c r="G2495" s="2" t="str">
        <f t="array" ref="G2495">IF(ISBLANK(D2495), "", INDEX(Categories!$B:$B,MATCH(D2495,Categories!$A:$A,0)))</f>
        <v>Restaurants</v>
      </c>
      <c r="H2495" s="7" t="str">
        <f t="array" ref="H2495">IF(ISBLANK(E2495), "", INDEX(Categories!$B:$B,MATCH(E2495,Categories!$A:$A,0)))</f>
        <v/>
      </c>
      <c r="I2495" s="7" t="str">
        <f t="array" ref="I2495">IF(ISBLANK(F2495), "", INDEX(Categories!$B:$B,MATCH(F2495,Categories!$A:$A,0)))</f>
        <v/>
      </c>
      <c r="J2495" s="4"/>
      <c r="K2495" s="4"/>
      <c r="L2495" s="4"/>
      <c r="M2495" s="4"/>
      <c r="N2495" s="4"/>
      <c r="O2495" s="4"/>
      <c r="P2495" s="4"/>
      <c r="Q2495" s="4"/>
    </row>
    <row r="2496">
      <c r="A2496" s="5">
        <v>2495.0</v>
      </c>
      <c r="B2496" s="5" t="s">
        <v>3019</v>
      </c>
      <c r="C2496" s="5" t="s">
        <v>62</v>
      </c>
      <c r="D2496" s="6">
        <f>IFERROR(__xludf.DUMMYFUNCTION("SPLIT(MID(C2496,2,LEN(C2496)-2), "","")"),242.0)</f>
        <v>242</v>
      </c>
      <c r="E2496" s="7"/>
      <c r="F2496" s="7"/>
      <c r="G2496" s="2" t="str">
        <f t="array" ref="G2496">IF(ISBLANK(D2496), "", INDEX(Categories!$B:$B,MATCH(D2496,Categories!$A:$A,0)))</f>
        <v>Restaurants Pizza</v>
      </c>
      <c r="H2496" s="7" t="str">
        <f t="array" ref="H2496">IF(ISBLANK(E2496), "", INDEX(Categories!$B:$B,MATCH(E2496,Categories!$A:$A,0)))</f>
        <v/>
      </c>
      <c r="I2496" s="7" t="str">
        <f t="array" ref="I2496">IF(ISBLANK(F2496), "", INDEX(Categories!$B:$B,MATCH(F2496,Categories!$A:$A,0)))</f>
        <v/>
      </c>
      <c r="J2496" s="4"/>
      <c r="K2496" s="4"/>
      <c r="L2496" s="4"/>
      <c r="M2496" s="4"/>
      <c r="N2496" s="4"/>
      <c r="O2496" s="4"/>
      <c r="P2496" s="4"/>
      <c r="Q2496" s="4"/>
    </row>
    <row r="2497">
      <c r="A2497" s="5">
        <v>2496.0</v>
      </c>
      <c r="B2497" s="5" t="s">
        <v>3020</v>
      </c>
      <c r="C2497" s="5" t="s">
        <v>34</v>
      </c>
      <c r="D2497" s="6">
        <f>IFERROR(__xludf.DUMMYFUNCTION("SPLIT(MID(C2497,2,LEN(C2497)-2), "","")"),228.0)</f>
        <v>228</v>
      </c>
      <c r="E2497" s="7"/>
      <c r="F2497" s="7"/>
      <c r="G2497" s="2" t="str">
        <f t="array" ref="G2497">IF(ISBLANK(D2497), "", INDEX(Categories!$B:$B,MATCH(D2497,Categories!$A:$A,0)))</f>
        <v>Restaurants</v>
      </c>
      <c r="H2497" s="7" t="str">
        <f t="array" ref="H2497">IF(ISBLANK(E2497), "", INDEX(Categories!$B:$B,MATCH(E2497,Categories!$A:$A,0)))</f>
        <v/>
      </c>
      <c r="I2497" s="7" t="str">
        <f t="array" ref="I2497">IF(ISBLANK(F2497), "", INDEX(Categories!$B:$B,MATCH(F2497,Categories!$A:$A,0)))</f>
        <v/>
      </c>
      <c r="J2497" s="4"/>
      <c r="K2497" s="4"/>
      <c r="L2497" s="4"/>
      <c r="M2497" s="4"/>
      <c r="N2497" s="4"/>
      <c r="O2497" s="4"/>
      <c r="P2497" s="4"/>
      <c r="Q2497" s="4"/>
    </row>
    <row r="2498">
      <c r="A2498" s="5">
        <v>2497.0</v>
      </c>
      <c r="B2498" s="5" t="s">
        <v>3021</v>
      </c>
      <c r="C2498" s="5" t="s">
        <v>34</v>
      </c>
      <c r="D2498" s="6">
        <f>IFERROR(__xludf.DUMMYFUNCTION("SPLIT(MID(C2498,2,LEN(C2498)-2), "","")"),228.0)</f>
        <v>228</v>
      </c>
      <c r="E2498" s="7"/>
      <c r="F2498" s="7"/>
      <c r="G2498" s="2" t="str">
        <f t="array" ref="G2498">IF(ISBLANK(D2498), "", INDEX(Categories!$B:$B,MATCH(D2498,Categories!$A:$A,0)))</f>
        <v>Restaurants</v>
      </c>
      <c r="H2498" s="7" t="str">
        <f t="array" ref="H2498">IF(ISBLANK(E2498), "", INDEX(Categories!$B:$B,MATCH(E2498,Categories!$A:$A,0)))</f>
        <v/>
      </c>
      <c r="I2498" s="7" t="str">
        <f t="array" ref="I2498">IF(ISBLANK(F2498), "", INDEX(Categories!$B:$B,MATCH(F2498,Categories!$A:$A,0)))</f>
        <v/>
      </c>
      <c r="J2498" s="4"/>
      <c r="K2498" s="4"/>
      <c r="L2498" s="4"/>
      <c r="M2498" s="4"/>
      <c r="N2498" s="4"/>
      <c r="O2498" s="4"/>
      <c r="P2498" s="4"/>
      <c r="Q2498" s="4"/>
    </row>
    <row r="2499">
      <c r="A2499" s="5">
        <v>2498.0</v>
      </c>
      <c r="B2499" s="5" t="s">
        <v>3022</v>
      </c>
      <c r="C2499" s="5" t="s">
        <v>62</v>
      </c>
      <c r="D2499" s="6">
        <f>IFERROR(__xludf.DUMMYFUNCTION("SPLIT(MID(C2499,2,LEN(C2499)-2), "","")"),242.0)</f>
        <v>242</v>
      </c>
      <c r="E2499" s="7"/>
      <c r="F2499" s="7"/>
      <c r="G2499" s="2" t="str">
        <f t="array" ref="G2499">IF(ISBLANK(D2499), "", INDEX(Categories!$B:$B,MATCH(D2499,Categories!$A:$A,0)))</f>
        <v>Restaurants Pizza</v>
      </c>
      <c r="H2499" s="7" t="str">
        <f t="array" ref="H2499">IF(ISBLANK(E2499), "", INDEX(Categories!$B:$B,MATCH(E2499,Categories!$A:$A,0)))</f>
        <v/>
      </c>
      <c r="I2499" s="7" t="str">
        <f t="array" ref="I2499">IF(ISBLANK(F2499), "", INDEX(Categories!$B:$B,MATCH(F2499,Categories!$A:$A,0)))</f>
        <v/>
      </c>
      <c r="J2499" s="4"/>
      <c r="K2499" s="4"/>
      <c r="L2499" s="4"/>
      <c r="M2499" s="4"/>
      <c r="N2499" s="4"/>
      <c r="O2499" s="4"/>
      <c r="P2499" s="4"/>
      <c r="Q2499" s="4"/>
    </row>
    <row r="2500">
      <c r="A2500" s="5">
        <v>2499.0</v>
      </c>
      <c r="B2500" s="5" t="s">
        <v>3023</v>
      </c>
      <c r="C2500" s="5" t="s">
        <v>34</v>
      </c>
      <c r="D2500" s="6">
        <f>IFERROR(__xludf.DUMMYFUNCTION("SPLIT(MID(C2500,2,LEN(C2500)-2), "","")"),228.0)</f>
        <v>228</v>
      </c>
      <c r="E2500" s="7"/>
      <c r="F2500" s="7"/>
      <c r="G2500" s="2" t="str">
        <f t="array" ref="G2500">IF(ISBLANK(D2500), "", INDEX(Categories!$B:$B,MATCH(D2500,Categories!$A:$A,0)))</f>
        <v>Restaurants</v>
      </c>
      <c r="H2500" s="7" t="str">
        <f t="array" ref="H2500">IF(ISBLANK(E2500), "", INDEX(Categories!$B:$B,MATCH(E2500,Categories!$A:$A,0)))</f>
        <v/>
      </c>
      <c r="I2500" s="7" t="str">
        <f t="array" ref="I2500">IF(ISBLANK(F2500), "", INDEX(Categories!$B:$B,MATCH(F2500,Categories!$A:$A,0)))</f>
        <v/>
      </c>
      <c r="J2500" s="4"/>
      <c r="K2500" s="4"/>
      <c r="L2500" s="4"/>
      <c r="M2500" s="4"/>
      <c r="N2500" s="4"/>
      <c r="O2500" s="4"/>
      <c r="P2500" s="4"/>
      <c r="Q2500" s="4"/>
    </row>
    <row r="2501">
      <c r="A2501" s="5">
        <v>2500.0</v>
      </c>
      <c r="B2501" s="5" t="s">
        <v>3024</v>
      </c>
      <c r="C2501" s="5" t="s">
        <v>69</v>
      </c>
      <c r="D2501" s="6">
        <f>IFERROR(__xludf.DUMMYFUNCTION("SPLIT(MID(C2501,2,LEN(C2501)-2), "","")"),293.0)</f>
        <v>293</v>
      </c>
      <c r="E2501" s="7"/>
      <c r="F2501" s="7"/>
      <c r="G2501" s="2" t="str">
        <f t="array" ref="G2501">IF(ISBLANK(D2501), "", INDEX(Categories!$B:$B,MATCH(D2501,Categories!$A:$A,0)))</f>
        <v>Banks Commercial</v>
      </c>
      <c r="H2501" s="7" t="str">
        <f t="array" ref="H2501">IF(ISBLANK(E2501), "", INDEX(Categories!$B:$B,MATCH(E2501,Categories!$A:$A,0)))</f>
        <v/>
      </c>
      <c r="I2501" s="7" t="str">
        <f t="array" ref="I2501">IF(ISBLANK(F2501), "", INDEX(Categories!$B:$B,MATCH(F2501,Categories!$A:$A,0)))</f>
        <v/>
      </c>
      <c r="J2501" s="4"/>
      <c r="K2501" s="4"/>
      <c r="L2501" s="4"/>
      <c r="M2501" s="4"/>
      <c r="N2501" s="4"/>
      <c r="O2501" s="4"/>
      <c r="P2501" s="4"/>
      <c r="Q2501" s="4"/>
    </row>
    <row r="2502">
      <c r="A2502" s="5">
        <v>2501.0</v>
      </c>
      <c r="B2502" s="5" t="s">
        <v>3025</v>
      </c>
      <c r="C2502" s="5" t="s">
        <v>332</v>
      </c>
      <c r="D2502" s="6">
        <f>IFERROR(__xludf.DUMMYFUNCTION("SPLIT(MID(C2502,2,LEN(C2502)-2), "","")"),768.0)</f>
        <v>768</v>
      </c>
      <c r="E2502" s="7"/>
      <c r="F2502" s="7"/>
      <c r="G2502" s="2" t="str">
        <f t="array" ref="G2502">IF(ISBLANK(D2502), "", INDEX(Categories!$B:$B,MATCH(D2502,Categories!$A:$A,0)))</f>
        <v>Thrift Stores</v>
      </c>
      <c r="H2502" s="7" t="str">
        <f t="array" ref="H2502">IF(ISBLANK(E2502), "", INDEX(Categories!$B:$B,MATCH(E2502,Categories!$A:$A,0)))</f>
        <v/>
      </c>
      <c r="I2502" s="7" t="str">
        <f t="array" ref="I2502">IF(ISBLANK(F2502), "", INDEX(Categories!$B:$B,MATCH(F2502,Categories!$A:$A,0)))</f>
        <v/>
      </c>
      <c r="J2502" s="4"/>
      <c r="K2502" s="4"/>
      <c r="L2502" s="4"/>
      <c r="M2502" s="4"/>
      <c r="N2502" s="4"/>
      <c r="O2502" s="4"/>
      <c r="P2502" s="4"/>
      <c r="Q2502" s="4"/>
    </row>
    <row r="2503">
      <c r="A2503" s="5">
        <v>2502.0</v>
      </c>
      <c r="B2503" s="5" t="s">
        <v>3026</v>
      </c>
      <c r="C2503" s="5" t="s">
        <v>266</v>
      </c>
      <c r="D2503" s="6">
        <f>IFERROR(__xludf.DUMMYFUNCTION("SPLIT(MID(C2503,2,LEN(C2503)-2), "","")"),429.0)</f>
        <v>429</v>
      </c>
      <c r="E2503" s="7"/>
      <c r="F2503" s="7"/>
      <c r="G2503" s="2" t="str">
        <f t="array" ref="G2503">IF(ISBLANK(D2503), "", INDEX(Categories!$B:$B,MATCH(D2503,Categories!$A:$A,0)))</f>
        <v>Bookstores</v>
      </c>
      <c r="H2503" s="7" t="str">
        <f t="array" ref="H2503">IF(ISBLANK(E2503), "", INDEX(Categories!$B:$B,MATCH(E2503,Categories!$A:$A,0)))</f>
        <v/>
      </c>
      <c r="I2503" s="7" t="str">
        <f t="array" ref="I2503">IF(ISBLANK(F2503), "", INDEX(Categories!$B:$B,MATCH(F2503,Categories!$A:$A,0)))</f>
        <v/>
      </c>
      <c r="J2503" s="4"/>
      <c r="K2503" s="4"/>
      <c r="L2503" s="4"/>
      <c r="M2503" s="4"/>
      <c r="N2503" s="4"/>
      <c r="O2503" s="4"/>
      <c r="P2503" s="4"/>
      <c r="Q2503" s="4"/>
    </row>
    <row r="2504">
      <c r="A2504" s="5">
        <v>2503.0</v>
      </c>
      <c r="B2504" s="5" t="s">
        <v>3027</v>
      </c>
      <c r="C2504" s="5" t="s">
        <v>96</v>
      </c>
      <c r="D2504" s="6">
        <f>IFERROR(__xludf.DUMMYFUNCTION("SPLIT(MID(C2504,2,LEN(C2504)-2), "","")"),572.0)</f>
        <v>572</v>
      </c>
      <c r="E2504" s="7"/>
      <c r="F2504" s="7"/>
      <c r="G2504" s="2" t="str">
        <f t="array" ref="G2504">IF(ISBLANK(D2504), "", INDEX(Categories!$B:$B,MATCH(D2504,Categories!$A:$A,0)))</f>
        <v>Groceries</v>
      </c>
      <c r="H2504" s="7" t="str">
        <f t="array" ref="H2504">IF(ISBLANK(E2504), "", INDEX(Categories!$B:$B,MATCH(E2504,Categories!$A:$A,0)))</f>
        <v/>
      </c>
      <c r="I2504" s="7" t="str">
        <f t="array" ref="I2504">IF(ISBLANK(F2504), "", INDEX(Categories!$B:$B,MATCH(F2504,Categories!$A:$A,0)))</f>
        <v/>
      </c>
      <c r="J2504" s="4"/>
      <c r="K2504" s="4"/>
      <c r="L2504" s="4"/>
      <c r="M2504" s="4"/>
      <c r="N2504" s="4"/>
      <c r="O2504" s="4"/>
      <c r="P2504" s="4"/>
      <c r="Q2504" s="4"/>
    </row>
    <row r="2505">
      <c r="A2505" s="5">
        <v>2504.0</v>
      </c>
      <c r="B2505" s="5" t="s">
        <v>3028</v>
      </c>
      <c r="C2505" s="5" t="s">
        <v>425</v>
      </c>
      <c r="D2505" s="6">
        <f>IFERROR(__xludf.DUMMYFUNCTION("SPLIT(MID(C2505,2,LEN(C2505)-2), "","")"),1174.0)</f>
        <v>1174</v>
      </c>
      <c r="E2505" s="7"/>
      <c r="F2505" s="7"/>
      <c r="G2505" s="2" t="str">
        <f t="array" ref="G2505">IF(ISBLANK(D2505), "", INDEX(Categories!$B:$B,MATCH(D2505,Categories!$A:$A,0)))</f>
        <v>Cargo &amp; Freight Services</v>
      </c>
      <c r="H2505" s="7" t="str">
        <f t="array" ref="H2505">IF(ISBLANK(E2505), "", INDEX(Categories!$B:$B,MATCH(E2505,Categories!$A:$A,0)))</f>
        <v/>
      </c>
      <c r="I2505" s="7" t="str">
        <f t="array" ref="I2505">IF(ISBLANK(F2505), "", INDEX(Categories!$B:$B,MATCH(F2505,Categories!$A:$A,0)))</f>
        <v/>
      </c>
      <c r="J2505" s="4"/>
      <c r="K2505" s="4"/>
      <c r="L2505" s="4"/>
      <c r="M2505" s="4"/>
      <c r="N2505" s="4"/>
      <c r="O2505" s="4"/>
      <c r="P2505" s="4"/>
      <c r="Q2505" s="4"/>
    </row>
    <row r="2506">
      <c r="A2506" s="5">
        <v>2505.0</v>
      </c>
      <c r="B2506" s="5" t="s">
        <v>2149</v>
      </c>
      <c r="C2506" s="5" t="s">
        <v>1530</v>
      </c>
      <c r="D2506" s="6">
        <f>IFERROR(__xludf.DUMMYFUNCTION("SPLIT(MID(C2506,2,LEN(C2506)-2), "","")"),239.0)</f>
        <v>239</v>
      </c>
      <c r="E2506" s="7"/>
      <c r="F2506" s="7"/>
      <c r="G2506" s="2" t="str">
        <f t="array" ref="G2506">IF(ISBLANK(D2506), "", INDEX(Categories!$B:$B,MATCH(D2506,Categories!$A:$A,0)))</f>
        <v>Restaurants Dining</v>
      </c>
      <c r="H2506" s="7" t="str">
        <f t="array" ref="H2506">IF(ISBLANK(E2506), "", INDEX(Categories!$B:$B,MATCH(E2506,Categories!$A:$A,0)))</f>
        <v/>
      </c>
      <c r="I2506" s="7" t="str">
        <f t="array" ref="I2506">IF(ISBLANK(F2506), "", INDEX(Categories!$B:$B,MATCH(F2506,Categories!$A:$A,0)))</f>
        <v/>
      </c>
      <c r="J2506" s="4"/>
      <c r="K2506" s="4"/>
      <c r="L2506" s="4"/>
      <c r="M2506" s="4"/>
      <c r="N2506" s="4"/>
      <c r="O2506" s="4"/>
      <c r="P2506" s="4"/>
      <c r="Q2506" s="4"/>
    </row>
    <row r="2507">
      <c r="A2507" s="5">
        <v>2506.0</v>
      </c>
      <c r="B2507" s="5" t="s">
        <v>3029</v>
      </c>
      <c r="C2507" s="5" t="s">
        <v>562</v>
      </c>
      <c r="D2507" s="6">
        <f>IFERROR(__xludf.DUMMYFUNCTION("SPLIT(MID(C2507,2,LEN(C2507)-2), "","")"),162.0)</f>
        <v>162</v>
      </c>
      <c r="E2507" s="7"/>
      <c r="F2507" s="7"/>
      <c r="G2507" s="2" t="str">
        <f t="array" ref="G2507">IF(ISBLANK(D2507), "", INDEX(Categories!$B:$B,MATCH(D2507,Categories!$A:$A,0)))</f>
        <v>Hotels, Motels, &amp; Lodging</v>
      </c>
      <c r="H2507" s="7" t="str">
        <f t="array" ref="H2507">IF(ISBLANK(E2507), "", INDEX(Categories!$B:$B,MATCH(E2507,Categories!$A:$A,0)))</f>
        <v/>
      </c>
      <c r="I2507" s="7" t="str">
        <f t="array" ref="I2507">IF(ISBLANK(F2507), "", INDEX(Categories!$B:$B,MATCH(F2507,Categories!$A:$A,0)))</f>
        <v/>
      </c>
      <c r="J2507" s="4"/>
      <c r="K2507" s="4"/>
      <c r="L2507" s="4"/>
      <c r="M2507" s="4"/>
      <c r="N2507" s="4"/>
      <c r="O2507" s="4"/>
      <c r="P2507" s="4"/>
      <c r="Q2507" s="4"/>
    </row>
    <row r="2508">
      <c r="A2508" s="5">
        <v>2507.0</v>
      </c>
      <c r="B2508" s="5" t="s">
        <v>3030</v>
      </c>
      <c r="C2508" s="5" t="s">
        <v>562</v>
      </c>
      <c r="D2508" s="6">
        <f>IFERROR(__xludf.DUMMYFUNCTION("SPLIT(MID(C2508,2,LEN(C2508)-2), "","")"),162.0)</f>
        <v>162</v>
      </c>
      <c r="E2508" s="7"/>
      <c r="F2508" s="7"/>
      <c r="G2508" s="2" t="str">
        <f t="array" ref="G2508">IF(ISBLANK(D2508), "", INDEX(Categories!$B:$B,MATCH(D2508,Categories!$A:$A,0)))</f>
        <v>Hotels, Motels, &amp; Lodging</v>
      </c>
      <c r="H2508" s="7" t="str">
        <f t="array" ref="H2508">IF(ISBLANK(E2508), "", INDEX(Categories!$B:$B,MATCH(E2508,Categories!$A:$A,0)))</f>
        <v/>
      </c>
      <c r="I2508" s="7" t="str">
        <f t="array" ref="I2508">IF(ISBLANK(F2508), "", INDEX(Categories!$B:$B,MATCH(F2508,Categories!$A:$A,0)))</f>
        <v/>
      </c>
      <c r="J2508" s="4"/>
      <c r="K2508" s="4"/>
      <c r="L2508" s="4"/>
      <c r="M2508" s="4"/>
      <c r="N2508" s="4"/>
      <c r="O2508" s="4"/>
      <c r="P2508" s="4"/>
      <c r="Q2508" s="4"/>
    </row>
    <row r="2509">
      <c r="A2509" s="5">
        <v>2508.0</v>
      </c>
      <c r="B2509" s="5" t="s">
        <v>3031</v>
      </c>
      <c r="C2509" s="5" t="s">
        <v>87</v>
      </c>
      <c r="D2509" s="6">
        <f>IFERROR(__xludf.DUMMYFUNCTION("SPLIT(MID(C2509,2,LEN(C2509)-2), "","")"),168.0)</f>
        <v>168</v>
      </c>
      <c r="E2509" s="7"/>
      <c r="F2509" s="7"/>
      <c r="G2509" s="2" t="str">
        <f t="array" ref="G2509">IF(ISBLANK(D2509), "", INDEX(Categories!$B:$B,MATCH(D2509,Categories!$A:$A,0)))</f>
        <v>Hotels &amp; Motels</v>
      </c>
      <c r="H2509" s="7" t="str">
        <f t="array" ref="H2509">IF(ISBLANK(E2509), "", INDEX(Categories!$B:$B,MATCH(E2509,Categories!$A:$A,0)))</f>
        <v/>
      </c>
      <c r="I2509" s="7" t="str">
        <f t="array" ref="I2509">IF(ISBLANK(F2509), "", INDEX(Categories!$B:$B,MATCH(F2509,Categories!$A:$A,0)))</f>
        <v/>
      </c>
      <c r="J2509" s="4"/>
      <c r="K2509" s="4"/>
      <c r="L2509" s="4"/>
      <c r="M2509" s="4"/>
      <c r="N2509" s="4"/>
      <c r="O2509" s="4"/>
      <c r="P2509" s="4"/>
      <c r="Q2509" s="4"/>
    </row>
    <row r="2510">
      <c r="A2510" s="5">
        <v>2509.0</v>
      </c>
      <c r="B2510" s="5" t="s">
        <v>3032</v>
      </c>
      <c r="C2510" s="5" t="s">
        <v>87</v>
      </c>
      <c r="D2510" s="6">
        <f>IFERROR(__xludf.DUMMYFUNCTION("SPLIT(MID(C2510,2,LEN(C2510)-2), "","")"),168.0)</f>
        <v>168</v>
      </c>
      <c r="E2510" s="7"/>
      <c r="F2510" s="7"/>
      <c r="G2510" s="2" t="str">
        <f t="array" ref="G2510">IF(ISBLANK(D2510), "", INDEX(Categories!$B:$B,MATCH(D2510,Categories!$A:$A,0)))</f>
        <v>Hotels &amp; Motels</v>
      </c>
      <c r="H2510" s="7" t="str">
        <f t="array" ref="H2510">IF(ISBLANK(E2510), "", INDEX(Categories!$B:$B,MATCH(E2510,Categories!$A:$A,0)))</f>
        <v/>
      </c>
      <c r="I2510" s="7" t="str">
        <f t="array" ref="I2510">IF(ISBLANK(F2510), "", INDEX(Categories!$B:$B,MATCH(F2510,Categories!$A:$A,0)))</f>
        <v/>
      </c>
      <c r="J2510" s="4"/>
      <c r="K2510" s="4"/>
      <c r="L2510" s="4"/>
      <c r="M2510" s="4"/>
      <c r="N2510" s="4"/>
      <c r="O2510" s="4"/>
      <c r="P2510" s="4"/>
      <c r="Q2510" s="4"/>
    </row>
    <row r="2511">
      <c r="A2511" s="5">
        <v>2510.0</v>
      </c>
      <c r="B2511" s="5" t="s">
        <v>3033</v>
      </c>
      <c r="C2511" s="5" t="s">
        <v>562</v>
      </c>
      <c r="D2511" s="6">
        <f>IFERROR(__xludf.DUMMYFUNCTION("SPLIT(MID(C2511,2,LEN(C2511)-2), "","")"),162.0)</f>
        <v>162</v>
      </c>
      <c r="E2511" s="7"/>
      <c r="F2511" s="7"/>
      <c r="G2511" s="2" t="str">
        <f t="array" ref="G2511">IF(ISBLANK(D2511), "", INDEX(Categories!$B:$B,MATCH(D2511,Categories!$A:$A,0)))</f>
        <v>Hotels, Motels, &amp; Lodging</v>
      </c>
      <c r="H2511" s="7" t="str">
        <f t="array" ref="H2511">IF(ISBLANK(E2511), "", INDEX(Categories!$B:$B,MATCH(E2511,Categories!$A:$A,0)))</f>
        <v/>
      </c>
      <c r="I2511" s="7" t="str">
        <f t="array" ref="I2511">IF(ISBLANK(F2511), "", INDEX(Categories!$B:$B,MATCH(F2511,Categories!$A:$A,0)))</f>
        <v/>
      </c>
      <c r="J2511" s="4"/>
      <c r="K2511" s="4"/>
      <c r="L2511" s="4"/>
      <c r="M2511" s="4"/>
      <c r="N2511" s="4"/>
      <c r="O2511" s="4"/>
      <c r="P2511" s="4"/>
      <c r="Q2511" s="4"/>
    </row>
    <row r="2512">
      <c r="A2512" s="5">
        <v>2511.0</v>
      </c>
      <c r="B2512" s="5" t="s">
        <v>3034</v>
      </c>
      <c r="C2512" s="5" t="s">
        <v>562</v>
      </c>
      <c r="D2512" s="6">
        <f>IFERROR(__xludf.DUMMYFUNCTION("SPLIT(MID(C2512,2,LEN(C2512)-2), "","")"),162.0)</f>
        <v>162</v>
      </c>
      <c r="E2512" s="7"/>
      <c r="F2512" s="7"/>
      <c r="G2512" s="2" t="str">
        <f t="array" ref="G2512">IF(ISBLANK(D2512), "", INDEX(Categories!$B:$B,MATCH(D2512,Categories!$A:$A,0)))</f>
        <v>Hotels, Motels, &amp; Lodging</v>
      </c>
      <c r="H2512" s="7" t="str">
        <f t="array" ref="H2512">IF(ISBLANK(E2512), "", INDEX(Categories!$B:$B,MATCH(E2512,Categories!$A:$A,0)))</f>
        <v/>
      </c>
      <c r="I2512" s="7" t="str">
        <f t="array" ref="I2512">IF(ISBLANK(F2512), "", INDEX(Categories!$B:$B,MATCH(F2512,Categories!$A:$A,0)))</f>
        <v/>
      </c>
      <c r="J2512" s="4"/>
      <c r="K2512" s="4"/>
      <c r="L2512" s="4"/>
      <c r="M2512" s="4"/>
      <c r="N2512" s="4"/>
      <c r="O2512" s="4"/>
      <c r="P2512" s="4"/>
      <c r="Q2512" s="4"/>
    </row>
    <row r="2513">
      <c r="A2513" s="5">
        <v>2512.0</v>
      </c>
      <c r="B2513" s="5" t="s">
        <v>3035</v>
      </c>
      <c r="C2513" s="5" t="s">
        <v>96</v>
      </c>
      <c r="D2513" s="6">
        <f>IFERROR(__xludf.DUMMYFUNCTION("SPLIT(MID(C2513,2,LEN(C2513)-2), "","")"),572.0)</f>
        <v>572</v>
      </c>
      <c r="E2513" s="7"/>
      <c r="F2513" s="7"/>
      <c r="G2513" s="2" t="str">
        <f t="array" ref="G2513">IF(ISBLANK(D2513), "", INDEX(Categories!$B:$B,MATCH(D2513,Categories!$A:$A,0)))</f>
        <v>Groceries</v>
      </c>
      <c r="H2513" s="7" t="str">
        <f t="array" ref="H2513">IF(ISBLANK(E2513), "", INDEX(Categories!$B:$B,MATCH(E2513,Categories!$A:$A,0)))</f>
        <v/>
      </c>
      <c r="I2513" s="7" t="str">
        <f t="array" ref="I2513">IF(ISBLANK(F2513), "", INDEX(Categories!$B:$B,MATCH(F2513,Categories!$A:$A,0)))</f>
        <v/>
      </c>
      <c r="J2513" s="4"/>
      <c r="K2513" s="4"/>
      <c r="L2513" s="4"/>
      <c r="M2513" s="4"/>
      <c r="N2513" s="4"/>
      <c r="O2513" s="4"/>
      <c r="P2513" s="4"/>
      <c r="Q2513" s="4"/>
    </row>
    <row r="2514">
      <c r="A2514" s="5">
        <v>2513.0</v>
      </c>
      <c r="B2514" s="5" t="s">
        <v>3036</v>
      </c>
      <c r="C2514" s="5" t="s">
        <v>96</v>
      </c>
      <c r="D2514" s="6">
        <f>IFERROR(__xludf.DUMMYFUNCTION("SPLIT(MID(C2514,2,LEN(C2514)-2), "","")"),572.0)</f>
        <v>572</v>
      </c>
      <c r="E2514" s="7"/>
      <c r="F2514" s="7"/>
      <c r="G2514" s="2" t="str">
        <f t="array" ref="G2514">IF(ISBLANK(D2514), "", INDEX(Categories!$B:$B,MATCH(D2514,Categories!$A:$A,0)))</f>
        <v>Groceries</v>
      </c>
      <c r="H2514" s="7" t="str">
        <f t="array" ref="H2514">IF(ISBLANK(E2514), "", INDEX(Categories!$B:$B,MATCH(E2514,Categories!$A:$A,0)))</f>
        <v/>
      </c>
      <c r="I2514" s="7" t="str">
        <f t="array" ref="I2514">IF(ISBLANK(F2514), "", INDEX(Categories!$B:$B,MATCH(F2514,Categories!$A:$A,0)))</f>
        <v/>
      </c>
      <c r="J2514" s="4"/>
      <c r="K2514" s="4"/>
      <c r="L2514" s="4"/>
      <c r="M2514" s="4"/>
      <c r="N2514" s="4"/>
      <c r="O2514" s="4"/>
      <c r="P2514" s="4"/>
      <c r="Q2514" s="4"/>
    </row>
    <row r="2515">
      <c r="A2515" s="5">
        <v>2514.0</v>
      </c>
      <c r="B2515" s="5" t="s">
        <v>3037</v>
      </c>
      <c r="C2515" s="5" t="s">
        <v>96</v>
      </c>
      <c r="D2515" s="6">
        <f>IFERROR(__xludf.DUMMYFUNCTION("SPLIT(MID(C2515,2,LEN(C2515)-2), "","")"),572.0)</f>
        <v>572</v>
      </c>
      <c r="E2515" s="7"/>
      <c r="F2515" s="7"/>
      <c r="G2515" s="2" t="str">
        <f t="array" ref="G2515">IF(ISBLANK(D2515), "", INDEX(Categories!$B:$B,MATCH(D2515,Categories!$A:$A,0)))</f>
        <v>Groceries</v>
      </c>
      <c r="H2515" s="7" t="str">
        <f t="array" ref="H2515">IF(ISBLANK(E2515), "", INDEX(Categories!$B:$B,MATCH(E2515,Categories!$A:$A,0)))</f>
        <v/>
      </c>
      <c r="I2515" s="7" t="str">
        <f t="array" ref="I2515">IF(ISBLANK(F2515), "", INDEX(Categories!$B:$B,MATCH(F2515,Categories!$A:$A,0)))</f>
        <v/>
      </c>
      <c r="J2515" s="4"/>
      <c r="K2515" s="4"/>
      <c r="L2515" s="4"/>
      <c r="M2515" s="4"/>
      <c r="N2515" s="4"/>
      <c r="O2515" s="4"/>
      <c r="P2515" s="4"/>
      <c r="Q2515" s="4"/>
    </row>
    <row r="2516">
      <c r="A2516" s="5">
        <v>2515.0</v>
      </c>
      <c r="B2516" s="5" t="s">
        <v>3038</v>
      </c>
      <c r="C2516" s="5" t="s">
        <v>96</v>
      </c>
      <c r="D2516" s="6">
        <f>IFERROR(__xludf.DUMMYFUNCTION("SPLIT(MID(C2516,2,LEN(C2516)-2), "","")"),572.0)</f>
        <v>572</v>
      </c>
      <c r="E2516" s="7"/>
      <c r="F2516" s="7"/>
      <c r="G2516" s="2" t="str">
        <f t="array" ref="G2516">IF(ISBLANK(D2516), "", INDEX(Categories!$B:$B,MATCH(D2516,Categories!$A:$A,0)))</f>
        <v>Groceries</v>
      </c>
      <c r="H2516" s="7" t="str">
        <f t="array" ref="H2516">IF(ISBLANK(E2516), "", INDEX(Categories!$B:$B,MATCH(E2516,Categories!$A:$A,0)))</f>
        <v/>
      </c>
      <c r="I2516" s="7" t="str">
        <f t="array" ref="I2516">IF(ISBLANK(F2516), "", INDEX(Categories!$B:$B,MATCH(F2516,Categories!$A:$A,0)))</f>
        <v/>
      </c>
      <c r="J2516" s="4"/>
      <c r="K2516" s="4"/>
      <c r="L2516" s="4"/>
      <c r="M2516" s="4"/>
      <c r="N2516" s="4"/>
      <c r="O2516" s="4"/>
      <c r="P2516" s="4"/>
      <c r="Q2516" s="4"/>
    </row>
    <row r="2517">
      <c r="A2517" s="5">
        <v>2516.0</v>
      </c>
      <c r="B2517" s="5" t="s">
        <v>3039</v>
      </c>
      <c r="C2517" s="5" t="s">
        <v>96</v>
      </c>
      <c r="D2517" s="6">
        <f>IFERROR(__xludf.DUMMYFUNCTION("SPLIT(MID(C2517,2,LEN(C2517)-2), "","")"),572.0)</f>
        <v>572</v>
      </c>
      <c r="E2517" s="7"/>
      <c r="F2517" s="7"/>
      <c r="G2517" s="2" t="str">
        <f t="array" ref="G2517">IF(ISBLANK(D2517), "", INDEX(Categories!$B:$B,MATCH(D2517,Categories!$A:$A,0)))</f>
        <v>Groceries</v>
      </c>
      <c r="H2517" s="7" t="str">
        <f t="array" ref="H2517">IF(ISBLANK(E2517), "", INDEX(Categories!$B:$B,MATCH(E2517,Categories!$A:$A,0)))</f>
        <v/>
      </c>
      <c r="I2517" s="7" t="str">
        <f t="array" ref="I2517">IF(ISBLANK(F2517), "", INDEX(Categories!$B:$B,MATCH(F2517,Categories!$A:$A,0)))</f>
        <v/>
      </c>
      <c r="J2517" s="4"/>
      <c r="K2517" s="4"/>
      <c r="L2517" s="4"/>
      <c r="M2517" s="4"/>
      <c r="N2517" s="4"/>
      <c r="O2517" s="4"/>
      <c r="P2517" s="4"/>
      <c r="Q2517" s="4"/>
    </row>
    <row r="2518">
      <c r="A2518" s="5">
        <v>2517.0</v>
      </c>
      <c r="B2518" s="5" t="s">
        <v>3040</v>
      </c>
      <c r="C2518" s="5" t="s">
        <v>96</v>
      </c>
      <c r="D2518" s="6">
        <f>IFERROR(__xludf.DUMMYFUNCTION("SPLIT(MID(C2518,2,LEN(C2518)-2), "","")"),572.0)</f>
        <v>572</v>
      </c>
      <c r="E2518" s="7"/>
      <c r="F2518" s="7"/>
      <c r="G2518" s="2" t="str">
        <f t="array" ref="G2518">IF(ISBLANK(D2518), "", INDEX(Categories!$B:$B,MATCH(D2518,Categories!$A:$A,0)))</f>
        <v>Groceries</v>
      </c>
      <c r="H2518" s="7" t="str">
        <f t="array" ref="H2518">IF(ISBLANK(E2518), "", INDEX(Categories!$B:$B,MATCH(E2518,Categories!$A:$A,0)))</f>
        <v/>
      </c>
      <c r="I2518" s="7" t="str">
        <f t="array" ref="I2518">IF(ISBLANK(F2518), "", INDEX(Categories!$B:$B,MATCH(F2518,Categories!$A:$A,0)))</f>
        <v/>
      </c>
      <c r="J2518" s="4"/>
      <c r="K2518" s="4"/>
      <c r="L2518" s="4"/>
      <c r="M2518" s="4"/>
      <c r="N2518" s="4"/>
      <c r="O2518" s="4"/>
      <c r="P2518" s="4"/>
      <c r="Q2518" s="4"/>
    </row>
    <row r="2519">
      <c r="A2519" s="5">
        <v>2518.0</v>
      </c>
      <c r="B2519" s="5" t="s">
        <v>3041</v>
      </c>
      <c r="C2519" s="5" t="s">
        <v>3042</v>
      </c>
      <c r="D2519" s="6">
        <f>IFERROR(__xludf.DUMMYFUNCTION("SPLIT(MID(C2519,2,LEN(C2519)-2), "","")"),2833.0)</f>
        <v>2833</v>
      </c>
      <c r="E2519" s="7"/>
      <c r="F2519" s="7"/>
      <c r="G2519" s="2" t="str">
        <f t="array" ref="G2519">IF(ISBLANK(D2519), "", INDEX(Categories!$B:$B,MATCH(D2519,Categories!$A:$A,0)))</f>
        <v>Swimming Instruction</v>
      </c>
      <c r="H2519" s="7" t="str">
        <f t="array" ref="H2519">IF(ISBLANK(E2519), "", INDEX(Categories!$B:$B,MATCH(E2519,Categories!$A:$A,0)))</f>
        <v/>
      </c>
      <c r="I2519" s="7" t="str">
        <f t="array" ref="I2519">IF(ISBLANK(F2519), "", INDEX(Categories!$B:$B,MATCH(F2519,Categories!$A:$A,0)))</f>
        <v/>
      </c>
      <c r="J2519" s="4"/>
      <c r="K2519" s="4"/>
      <c r="L2519" s="4"/>
      <c r="M2519" s="4"/>
      <c r="N2519" s="4"/>
      <c r="O2519" s="4"/>
      <c r="P2519" s="4"/>
      <c r="Q2519" s="4"/>
    </row>
    <row r="2520">
      <c r="A2520" s="5">
        <v>2519.0</v>
      </c>
      <c r="B2520" s="5" t="s">
        <v>3043</v>
      </c>
      <c r="C2520" s="5" t="s">
        <v>324</v>
      </c>
      <c r="D2520" s="6">
        <f>IFERROR(__xludf.DUMMYFUNCTION("SPLIT(MID(C2520,2,LEN(C2520)-2), "","")"),290.0)</f>
        <v>290</v>
      </c>
      <c r="E2520" s="7"/>
      <c r="F2520" s="7"/>
      <c r="G2520" s="2" t="str">
        <f t="array" ref="G2520">IF(ISBLANK(D2520), "", INDEX(Categories!$B:$B,MATCH(D2520,Categories!$A:$A,0)))</f>
        <v>Banks &amp; Credit Unions</v>
      </c>
      <c r="H2520" s="7" t="str">
        <f t="array" ref="H2520">IF(ISBLANK(E2520), "", INDEX(Categories!$B:$B,MATCH(E2520,Categories!$A:$A,0)))</f>
        <v/>
      </c>
      <c r="I2520" s="7" t="str">
        <f t="array" ref="I2520">IF(ISBLANK(F2520), "", INDEX(Categories!$B:$B,MATCH(F2520,Categories!$A:$A,0)))</f>
        <v/>
      </c>
      <c r="J2520" s="4"/>
      <c r="K2520" s="4"/>
      <c r="L2520" s="4"/>
      <c r="M2520" s="4"/>
      <c r="N2520" s="4"/>
      <c r="O2520" s="4"/>
      <c r="P2520" s="4"/>
      <c r="Q2520" s="4"/>
    </row>
    <row r="2521">
      <c r="A2521" s="5">
        <v>2520.0</v>
      </c>
      <c r="B2521" s="5" t="s">
        <v>3044</v>
      </c>
      <c r="C2521" s="5" t="s">
        <v>303</v>
      </c>
      <c r="D2521" s="6">
        <f>IFERROR(__xludf.DUMMYFUNCTION("SPLIT(MID(C2521,2,LEN(C2521)-2), "","")"),1241.0)</f>
        <v>1241</v>
      </c>
      <c r="E2521" s="7"/>
      <c r="F2521" s="7"/>
      <c r="G2521" s="2" t="str">
        <f t="array" ref="G2521">IF(ISBLANK(D2521), "", INDEX(Categories!$B:$B,MATCH(D2521,Categories!$A:$A,0)))</f>
        <v>Clothing &amp; Accessories</v>
      </c>
      <c r="H2521" s="7" t="str">
        <f t="array" ref="H2521">IF(ISBLANK(E2521), "", INDEX(Categories!$B:$B,MATCH(E2521,Categories!$A:$A,0)))</f>
        <v/>
      </c>
      <c r="I2521" s="7" t="str">
        <f t="array" ref="I2521">IF(ISBLANK(F2521), "", INDEX(Categories!$B:$B,MATCH(F2521,Categories!$A:$A,0)))</f>
        <v/>
      </c>
      <c r="J2521" s="4"/>
      <c r="K2521" s="4"/>
      <c r="L2521" s="4"/>
      <c r="M2521" s="4"/>
      <c r="N2521" s="4"/>
      <c r="O2521" s="4"/>
      <c r="P2521" s="4"/>
      <c r="Q2521" s="4"/>
    </row>
    <row r="2522">
      <c r="A2522" s="5">
        <v>2521.0</v>
      </c>
      <c r="B2522" s="5" t="s">
        <v>3045</v>
      </c>
      <c r="C2522" s="5" t="s">
        <v>34</v>
      </c>
      <c r="D2522" s="6">
        <f>IFERROR(__xludf.DUMMYFUNCTION("SPLIT(MID(C2522,2,LEN(C2522)-2), "","")"),228.0)</f>
        <v>228</v>
      </c>
      <c r="E2522" s="7"/>
      <c r="F2522" s="7"/>
      <c r="G2522" s="2" t="str">
        <f t="array" ref="G2522">IF(ISBLANK(D2522), "", INDEX(Categories!$B:$B,MATCH(D2522,Categories!$A:$A,0)))</f>
        <v>Restaurants</v>
      </c>
      <c r="H2522" s="7" t="str">
        <f t="array" ref="H2522">IF(ISBLANK(E2522), "", INDEX(Categories!$B:$B,MATCH(E2522,Categories!$A:$A,0)))</f>
        <v/>
      </c>
      <c r="I2522" s="7" t="str">
        <f t="array" ref="I2522">IF(ISBLANK(F2522), "", INDEX(Categories!$B:$B,MATCH(F2522,Categories!$A:$A,0)))</f>
        <v/>
      </c>
      <c r="J2522" s="4"/>
      <c r="K2522" s="4"/>
      <c r="L2522" s="4"/>
      <c r="M2522" s="4"/>
      <c r="N2522" s="4"/>
      <c r="O2522" s="4"/>
      <c r="P2522" s="4"/>
      <c r="Q2522" s="4"/>
    </row>
    <row r="2523">
      <c r="A2523" s="5">
        <v>2522.0</v>
      </c>
      <c r="B2523" s="5" t="s">
        <v>3046</v>
      </c>
      <c r="C2523" s="5" t="s">
        <v>2381</v>
      </c>
      <c r="D2523" s="6">
        <f>IFERROR(__xludf.DUMMYFUNCTION("SPLIT(MID(C2523,2,LEN(C2523)-2), "","")"),2599.0)</f>
        <v>2599</v>
      </c>
      <c r="E2523" s="7"/>
      <c r="F2523" s="7"/>
      <c r="G2523" s="2" t="str">
        <f t="array" ref="G2523">IF(ISBLANK(D2523), "", INDEX(Categories!$B:$B,MATCH(D2523,Categories!$A:$A,0)))</f>
        <v>Gymnasiums</v>
      </c>
      <c r="H2523" s="7" t="str">
        <f t="array" ref="H2523">IF(ISBLANK(E2523), "", INDEX(Categories!$B:$B,MATCH(E2523,Categories!$A:$A,0)))</f>
        <v/>
      </c>
      <c r="I2523" s="7" t="str">
        <f t="array" ref="I2523">IF(ISBLANK(F2523), "", INDEX(Categories!$B:$B,MATCH(F2523,Categories!$A:$A,0)))</f>
        <v/>
      </c>
      <c r="J2523" s="4"/>
      <c r="K2523" s="4"/>
      <c r="L2523" s="4"/>
      <c r="M2523" s="4"/>
      <c r="N2523" s="4"/>
      <c r="O2523" s="4"/>
      <c r="P2523" s="4"/>
      <c r="Q2523" s="4"/>
    </row>
    <row r="2524">
      <c r="A2524" s="5">
        <v>2523.0</v>
      </c>
      <c r="B2524" s="5" t="s">
        <v>3047</v>
      </c>
      <c r="C2524" s="5" t="s">
        <v>619</v>
      </c>
      <c r="D2524" s="6">
        <f>IFERROR(__xludf.DUMMYFUNCTION("SPLIT(MID(C2524,2,LEN(C2524)-2), "","")"),2598.0)</f>
        <v>2598</v>
      </c>
      <c r="E2524" s="7"/>
      <c r="F2524" s="7"/>
      <c r="G2524" s="2" t="str">
        <f t="array" ref="G2524">IF(ISBLANK(D2524), "", INDEX(Categories!$B:$B,MATCH(D2524,Categories!$A:$A,0)))</f>
        <v>Fitness Centers</v>
      </c>
      <c r="H2524" s="7" t="str">
        <f t="array" ref="H2524">IF(ISBLANK(E2524), "", INDEX(Categories!$B:$B,MATCH(E2524,Categories!$A:$A,0)))</f>
        <v/>
      </c>
      <c r="I2524" s="7" t="str">
        <f t="array" ref="I2524">IF(ISBLANK(F2524), "", INDEX(Categories!$B:$B,MATCH(F2524,Categories!$A:$A,0)))</f>
        <v/>
      </c>
      <c r="J2524" s="4"/>
      <c r="K2524" s="4"/>
      <c r="L2524" s="4"/>
      <c r="M2524" s="4"/>
      <c r="N2524" s="4"/>
      <c r="O2524" s="4"/>
      <c r="P2524" s="4"/>
      <c r="Q2524" s="4"/>
    </row>
    <row r="2525">
      <c r="A2525" s="5">
        <v>2524.0</v>
      </c>
      <c r="B2525" s="5" t="s">
        <v>3048</v>
      </c>
      <c r="C2525" s="5" t="s">
        <v>2591</v>
      </c>
      <c r="D2525" s="6">
        <f>IFERROR(__xludf.DUMMYFUNCTION("SPLIT(MID(C2525,2,LEN(C2525)-2), "","")"),707.0)</f>
        <v>707</v>
      </c>
      <c r="E2525" s="7"/>
      <c r="F2525" s="7"/>
      <c r="G2525" s="2" t="str">
        <f t="array" ref="G2525">IF(ISBLANK(D2525), "", INDEX(Categories!$B:$B,MATCH(D2525,Categories!$A:$A,0)))</f>
        <v>Massage Therapists</v>
      </c>
      <c r="H2525" s="7" t="str">
        <f t="array" ref="H2525">IF(ISBLANK(E2525), "", INDEX(Categories!$B:$B,MATCH(E2525,Categories!$A:$A,0)))</f>
        <v/>
      </c>
      <c r="I2525" s="7" t="str">
        <f t="array" ref="I2525">IF(ISBLANK(F2525), "", INDEX(Categories!$B:$B,MATCH(F2525,Categories!$A:$A,0)))</f>
        <v/>
      </c>
      <c r="J2525" s="4"/>
      <c r="K2525" s="4"/>
      <c r="L2525" s="4"/>
      <c r="M2525" s="4"/>
      <c r="N2525" s="4"/>
      <c r="O2525" s="4"/>
      <c r="P2525" s="4"/>
      <c r="Q2525" s="4"/>
    </row>
    <row r="2526">
      <c r="A2526" s="5">
        <v>2525.0</v>
      </c>
      <c r="B2526" s="5" t="s">
        <v>3049</v>
      </c>
      <c r="C2526" s="5" t="s">
        <v>62</v>
      </c>
      <c r="D2526" s="6">
        <f>IFERROR(__xludf.DUMMYFUNCTION("SPLIT(MID(C2526,2,LEN(C2526)-2), "","")"),242.0)</f>
        <v>242</v>
      </c>
      <c r="E2526" s="7"/>
      <c r="F2526" s="7"/>
      <c r="G2526" s="2" t="str">
        <f t="array" ref="G2526">IF(ISBLANK(D2526), "", INDEX(Categories!$B:$B,MATCH(D2526,Categories!$A:$A,0)))</f>
        <v>Restaurants Pizza</v>
      </c>
      <c r="H2526" s="7" t="str">
        <f t="array" ref="H2526">IF(ISBLANK(E2526), "", INDEX(Categories!$B:$B,MATCH(E2526,Categories!$A:$A,0)))</f>
        <v/>
      </c>
      <c r="I2526" s="7" t="str">
        <f t="array" ref="I2526">IF(ISBLANK(F2526), "", INDEX(Categories!$B:$B,MATCH(F2526,Categories!$A:$A,0)))</f>
        <v/>
      </c>
      <c r="J2526" s="4"/>
      <c r="K2526" s="4"/>
      <c r="L2526" s="4"/>
      <c r="M2526" s="4"/>
      <c r="N2526" s="4"/>
      <c r="O2526" s="4"/>
      <c r="P2526" s="4"/>
      <c r="Q2526" s="4"/>
    </row>
    <row r="2527">
      <c r="A2527" s="5">
        <v>2526.0</v>
      </c>
      <c r="B2527" s="5" t="s">
        <v>3050</v>
      </c>
      <c r="C2527" s="5" t="s">
        <v>2591</v>
      </c>
      <c r="D2527" s="6">
        <f>IFERROR(__xludf.DUMMYFUNCTION("SPLIT(MID(C2527,2,LEN(C2527)-2), "","")"),707.0)</f>
        <v>707</v>
      </c>
      <c r="E2527" s="7"/>
      <c r="F2527" s="7"/>
      <c r="G2527" s="2" t="str">
        <f t="array" ref="G2527">IF(ISBLANK(D2527), "", INDEX(Categories!$B:$B,MATCH(D2527,Categories!$A:$A,0)))</f>
        <v>Massage Therapists</v>
      </c>
      <c r="H2527" s="7" t="str">
        <f t="array" ref="H2527">IF(ISBLANK(E2527), "", INDEX(Categories!$B:$B,MATCH(E2527,Categories!$A:$A,0)))</f>
        <v/>
      </c>
      <c r="I2527" s="7" t="str">
        <f t="array" ref="I2527">IF(ISBLANK(F2527), "", INDEX(Categories!$B:$B,MATCH(F2527,Categories!$A:$A,0)))</f>
        <v/>
      </c>
      <c r="J2527" s="4"/>
      <c r="K2527" s="4"/>
      <c r="L2527" s="4"/>
      <c r="M2527" s="4"/>
      <c r="N2527" s="4"/>
      <c r="O2527" s="4"/>
      <c r="P2527" s="4"/>
      <c r="Q2527" s="4"/>
    </row>
    <row r="2528">
      <c r="A2528" s="5">
        <v>2527.0</v>
      </c>
      <c r="B2528" s="5" t="s">
        <v>3051</v>
      </c>
      <c r="C2528" s="5" t="s">
        <v>10</v>
      </c>
      <c r="D2528" s="6">
        <f>IFERROR(__xludf.DUMMYFUNCTION("SPLIT(MID(C2528,2,LEN(C2528)-2), "","")"),1168.0)</f>
        <v>1168</v>
      </c>
      <c r="E2528" s="7"/>
      <c r="F2528" s="7"/>
      <c r="G2528" s="2" t="str">
        <f t="array" ref="G2528">IF(ISBLANK(D2528), "", INDEX(Categories!$B:$B,MATCH(D2528,Categories!$A:$A,0)))</f>
        <v>Convenience Stores</v>
      </c>
      <c r="H2528" s="7" t="str">
        <f t="array" ref="H2528">IF(ISBLANK(E2528), "", INDEX(Categories!$B:$B,MATCH(E2528,Categories!$A:$A,0)))</f>
        <v/>
      </c>
      <c r="I2528" s="7" t="str">
        <f t="array" ref="I2528">IF(ISBLANK(F2528), "", INDEX(Categories!$B:$B,MATCH(F2528,Categories!$A:$A,0)))</f>
        <v/>
      </c>
      <c r="J2528" s="4"/>
      <c r="K2528" s="4"/>
      <c r="L2528" s="4"/>
      <c r="M2528" s="4"/>
      <c r="N2528" s="4"/>
      <c r="O2528" s="4"/>
      <c r="P2528" s="4"/>
      <c r="Q2528" s="4"/>
    </row>
    <row r="2529">
      <c r="A2529" s="5">
        <v>2528.0</v>
      </c>
      <c r="B2529" s="5" t="s">
        <v>3052</v>
      </c>
      <c r="C2529" s="5" t="s">
        <v>3053</v>
      </c>
      <c r="D2529" s="6">
        <f>IFERROR(__xludf.DUMMYFUNCTION("SPLIT(MID(C2529,2,LEN(C2529)-2), "","")"),82.0)</f>
        <v>82</v>
      </c>
      <c r="E2529" s="7"/>
      <c r="F2529" s="7"/>
      <c r="G2529" s="2" t="str">
        <f t="array" ref="G2529">IF(ISBLANK(D2529), "", INDEX(Categories!$B:$B,MATCH(D2529,Categories!$A:$A,0)))</f>
        <v>Dental Laboratories</v>
      </c>
      <c r="H2529" s="7" t="str">
        <f t="array" ref="H2529">IF(ISBLANK(E2529), "", INDEX(Categories!$B:$B,MATCH(E2529,Categories!$A:$A,0)))</f>
        <v/>
      </c>
      <c r="I2529" s="7" t="str">
        <f t="array" ref="I2529">IF(ISBLANK(F2529), "", INDEX(Categories!$B:$B,MATCH(F2529,Categories!$A:$A,0)))</f>
        <v/>
      </c>
      <c r="J2529" s="4"/>
      <c r="K2529" s="4"/>
      <c r="L2529" s="4"/>
      <c r="M2529" s="4"/>
      <c r="N2529" s="4"/>
      <c r="O2529" s="4"/>
      <c r="P2529" s="4"/>
      <c r="Q2529" s="4"/>
    </row>
    <row r="2530">
      <c r="A2530" s="5">
        <v>2529.0</v>
      </c>
      <c r="B2530" s="5" t="s">
        <v>3054</v>
      </c>
      <c r="C2530" s="5" t="s">
        <v>1257</v>
      </c>
      <c r="D2530" s="6">
        <f>IFERROR(__xludf.DUMMYFUNCTION("SPLIT(MID(C2530,2,LEN(C2530)-2), "","")"),2629.0)</f>
        <v>2629</v>
      </c>
      <c r="E2530" s="7"/>
      <c r="F2530" s="7"/>
      <c r="G2530" s="2" t="str">
        <f t="array" ref="G2530">IF(ISBLANK(D2530), "", INDEX(Categories!$B:$B,MATCH(D2530,Categories!$A:$A,0)))</f>
        <v>Tanning Salons</v>
      </c>
      <c r="H2530" s="7" t="str">
        <f t="array" ref="H2530">IF(ISBLANK(E2530), "", INDEX(Categories!$B:$B,MATCH(E2530,Categories!$A:$A,0)))</f>
        <v/>
      </c>
      <c r="I2530" s="7" t="str">
        <f t="array" ref="I2530">IF(ISBLANK(F2530), "", INDEX(Categories!$B:$B,MATCH(F2530,Categories!$A:$A,0)))</f>
        <v/>
      </c>
      <c r="J2530" s="4"/>
      <c r="K2530" s="4"/>
      <c r="L2530" s="4"/>
      <c r="M2530" s="4"/>
      <c r="N2530" s="4"/>
      <c r="O2530" s="4"/>
      <c r="P2530" s="4"/>
      <c r="Q2530" s="4"/>
    </row>
    <row r="2531">
      <c r="A2531" s="5">
        <v>2530.0</v>
      </c>
      <c r="B2531" s="5" t="s">
        <v>3055</v>
      </c>
      <c r="C2531" s="5" t="s">
        <v>152</v>
      </c>
      <c r="D2531" s="6">
        <f>IFERROR(__xludf.DUMMYFUNCTION("SPLIT(MID(C2531,2,LEN(C2531)-2), "","")"),1183.0)</f>
        <v>1183</v>
      </c>
      <c r="E2531" s="7"/>
      <c r="F2531" s="7"/>
      <c r="G2531" s="2" t="str">
        <f t="array" ref="G2531">IF(ISBLANK(D2531), "", INDEX(Categories!$B:$B,MATCH(D2531,Categories!$A:$A,0)))</f>
        <v>Shipping Services</v>
      </c>
      <c r="H2531" s="7" t="str">
        <f t="array" ref="H2531">IF(ISBLANK(E2531), "", INDEX(Categories!$B:$B,MATCH(E2531,Categories!$A:$A,0)))</f>
        <v/>
      </c>
      <c r="I2531" s="7" t="str">
        <f t="array" ref="I2531">IF(ISBLANK(F2531), "", INDEX(Categories!$B:$B,MATCH(F2531,Categories!$A:$A,0)))</f>
        <v/>
      </c>
      <c r="J2531" s="4"/>
      <c r="K2531" s="4"/>
      <c r="L2531" s="4"/>
      <c r="M2531" s="4"/>
      <c r="N2531" s="4"/>
      <c r="O2531" s="4"/>
      <c r="P2531" s="4"/>
      <c r="Q2531" s="4"/>
    </row>
    <row r="2532">
      <c r="A2532" s="5">
        <v>2531.0</v>
      </c>
      <c r="B2532" s="5" t="s">
        <v>3056</v>
      </c>
      <c r="C2532" s="5" t="s">
        <v>60</v>
      </c>
      <c r="D2532" s="6">
        <f>IFERROR(__xludf.DUMMYFUNCTION("SPLIT(MID(C2532,2,LEN(C2532)-2), "","")"),240.0)</f>
        <v>240</v>
      </c>
      <c r="E2532" s="7"/>
      <c r="F2532" s="7"/>
      <c r="G2532" s="2" t="str">
        <f t="array" ref="G2532">IF(ISBLANK(D2532), "", INDEX(Categories!$B:$B,MATCH(D2532,Categories!$A:$A,0)))</f>
        <v>Restaurants Fast Food</v>
      </c>
      <c r="H2532" s="7" t="str">
        <f t="array" ref="H2532">IF(ISBLANK(E2532), "", INDEX(Categories!$B:$B,MATCH(E2532,Categories!$A:$A,0)))</f>
        <v/>
      </c>
      <c r="I2532" s="7" t="str">
        <f t="array" ref="I2532">IF(ISBLANK(F2532), "", INDEX(Categories!$B:$B,MATCH(F2532,Categories!$A:$A,0)))</f>
        <v/>
      </c>
      <c r="J2532" s="4"/>
      <c r="K2532" s="4"/>
      <c r="L2532" s="4"/>
      <c r="M2532" s="4"/>
      <c r="N2532" s="4"/>
      <c r="O2532" s="4"/>
      <c r="P2532" s="4"/>
      <c r="Q2532" s="4"/>
    </row>
    <row r="2533">
      <c r="A2533" s="5">
        <v>2532.0</v>
      </c>
      <c r="B2533" s="5" t="s">
        <v>3057</v>
      </c>
      <c r="C2533" s="5" t="s">
        <v>58</v>
      </c>
      <c r="D2533" s="6">
        <f>IFERROR(__xludf.DUMMYFUNCTION("SPLIT(MID(C2533,2,LEN(C2533)-2), "","")"),1170.0)</f>
        <v>1170</v>
      </c>
      <c r="E2533" s="7"/>
      <c r="F2533" s="7"/>
      <c r="G2533" s="2" t="str">
        <f t="array" ref="G2533">IF(ISBLANK(D2533), "", INDEX(Categories!$B:$B,MATCH(D2533,Categories!$A:$A,0)))</f>
        <v>Gasoline Retail</v>
      </c>
      <c r="H2533" s="7" t="str">
        <f t="array" ref="H2533">IF(ISBLANK(E2533), "", INDEX(Categories!$B:$B,MATCH(E2533,Categories!$A:$A,0)))</f>
        <v/>
      </c>
      <c r="I2533" s="7" t="str">
        <f t="array" ref="I2533">IF(ISBLANK(F2533), "", INDEX(Categories!$B:$B,MATCH(F2533,Categories!$A:$A,0)))</f>
        <v/>
      </c>
      <c r="J2533" s="4"/>
      <c r="K2533" s="4"/>
      <c r="L2533" s="4"/>
      <c r="M2533" s="4"/>
      <c r="N2533" s="4"/>
      <c r="O2533" s="4"/>
      <c r="P2533" s="4"/>
      <c r="Q2533" s="4"/>
    </row>
    <row r="2534">
      <c r="A2534" s="5">
        <v>2533.0</v>
      </c>
      <c r="B2534" s="5" t="s">
        <v>3058</v>
      </c>
      <c r="C2534" s="5" t="s">
        <v>58</v>
      </c>
      <c r="D2534" s="6">
        <f>IFERROR(__xludf.DUMMYFUNCTION("SPLIT(MID(C2534,2,LEN(C2534)-2), "","")"),1170.0)</f>
        <v>1170</v>
      </c>
      <c r="E2534" s="7"/>
      <c r="F2534" s="7"/>
      <c r="G2534" s="2" t="str">
        <f t="array" ref="G2534">IF(ISBLANK(D2534), "", INDEX(Categories!$B:$B,MATCH(D2534,Categories!$A:$A,0)))</f>
        <v>Gasoline Retail</v>
      </c>
      <c r="H2534" s="7" t="str">
        <f t="array" ref="H2534">IF(ISBLANK(E2534), "", INDEX(Categories!$B:$B,MATCH(E2534,Categories!$A:$A,0)))</f>
        <v/>
      </c>
      <c r="I2534" s="7" t="str">
        <f t="array" ref="I2534">IF(ISBLANK(F2534), "", INDEX(Categories!$B:$B,MATCH(F2534,Categories!$A:$A,0)))</f>
        <v/>
      </c>
      <c r="J2534" s="4"/>
      <c r="K2534" s="4"/>
      <c r="L2534" s="4"/>
      <c r="M2534" s="4"/>
      <c r="N2534" s="4"/>
      <c r="O2534" s="4"/>
      <c r="P2534" s="4"/>
      <c r="Q2534" s="4"/>
    </row>
    <row r="2535">
      <c r="A2535" s="5">
        <v>2534.0</v>
      </c>
      <c r="B2535" s="5" t="s">
        <v>3059</v>
      </c>
      <c r="C2535" s="5" t="s">
        <v>58</v>
      </c>
      <c r="D2535" s="6">
        <f>IFERROR(__xludf.DUMMYFUNCTION("SPLIT(MID(C2535,2,LEN(C2535)-2), "","")"),1170.0)</f>
        <v>1170</v>
      </c>
      <c r="E2535" s="7"/>
      <c r="F2535" s="7"/>
      <c r="G2535" s="2" t="str">
        <f t="array" ref="G2535">IF(ISBLANK(D2535), "", INDEX(Categories!$B:$B,MATCH(D2535,Categories!$A:$A,0)))</f>
        <v>Gasoline Retail</v>
      </c>
      <c r="H2535" s="7" t="str">
        <f t="array" ref="H2535">IF(ISBLANK(E2535), "", INDEX(Categories!$B:$B,MATCH(E2535,Categories!$A:$A,0)))</f>
        <v/>
      </c>
      <c r="I2535" s="7" t="str">
        <f t="array" ref="I2535">IF(ISBLANK(F2535), "", INDEX(Categories!$B:$B,MATCH(F2535,Categories!$A:$A,0)))</f>
        <v/>
      </c>
      <c r="J2535" s="4"/>
      <c r="K2535" s="4"/>
      <c r="L2535" s="4"/>
      <c r="M2535" s="4"/>
      <c r="N2535" s="4"/>
      <c r="O2535" s="4"/>
      <c r="P2535" s="4"/>
      <c r="Q2535" s="4"/>
    </row>
    <row r="2536">
      <c r="A2536" s="5">
        <v>2535.0</v>
      </c>
      <c r="B2536" s="5" t="s">
        <v>3060</v>
      </c>
      <c r="C2536" s="5" t="s">
        <v>58</v>
      </c>
      <c r="D2536" s="6">
        <f>IFERROR(__xludf.DUMMYFUNCTION("SPLIT(MID(C2536,2,LEN(C2536)-2), "","")"),1170.0)</f>
        <v>1170</v>
      </c>
      <c r="E2536" s="7"/>
      <c r="F2536" s="7"/>
      <c r="G2536" s="2" t="str">
        <f t="array" ref="G2536">IF(ISBLANK(D2536), "", INDEX(Categories!$B:$B,MATCH(D2536,Categories!$A:$A,0)))</f>
        <v>Gasoline Retail</v>
      </c>
      <c r="H2536" s="7" t="str">
        <f t="array" ref="H2536">IF(ISBLANK(E2536), "", INDEX(Categories!$B:$B,MATCH(E2536,Categories!$A:$A,0)))</f>
        <v/>
      </c>
      <c r="I2536" s="7" t="str">
        <f t="array" ref="I2536">IF(ISBLANK(F2536), "", INDEX(Categories!$B:$B,MATCH(F2536,Categories!$A:$A,0)))</f>
        <v/>
      </c>
      <c r="J2536" s="4"/>
      <c r="K2536" s="4"/>
      <c r="L2536" s="4"/>
      <c r="M2536" s="4"/>
      <c r="N2536" s="4"/>
      <c r="O2536" s="4"/>
      <c r="P2536" s="4"/>
      <c r="Q2536" s="4"/>
    </row>
    <row r="2537">
      <c r="A2537" s="5">
        <v>2536.0</v>
      </c>
      <c r="B2537" s="5" t="s">
        <v>3061</v>
      </c>
      <c r="C2537" s="5" t="s">
        <v>69</v>
      </c>
      <c r="D2537" s="6">
        <f>IFERROR(__xludf.DUMMYFUNCTION("SPLIT(MID(C2537,2,LEN(C2537)-2), "","")"),293.0)</f>
        <v>293</v>
      </c>
      <c r="E2537" s="7"/>
      <c r="F2537" s="7"/>
      <c r="G2537" s="2" t="str">
        <f t="array" ref="G2537">IF(ISBLANK(D2537), "", INDEX(Categories!$B:$B,MATCH(D2537,Categories!$A:$A,0)))</f>
        <v>Banks Commercial</v>
      </c>
      <c r="H2537" s="7" t="str">
        <f t="array" ref="H2537">IF(ISBLANK(E2537), "", INDEX(Categories!$B:$B,MATCH(E2537,Categories!$A:$A,0)))</f>
        <v/>
      </c>
      <c r="I2537" s="7" t="str">
        <f t="array" ref="I2537">IF(ISBLANK(F2537), "", INDEX(Categories!$B:$B,MATCH(F2537,Categories!$A:$A,0)))</f>
        <v/>
      </c>
      <c r="J2537" s="4"/>
      <c r="K2537" s="4"/>
      <c r="L2537" s="4"/>
      <c r="M2537" s="4"/>
      <c r="N2537" s="4"/>
      <c r="O2537" s="4"/>
      <c r="P2537" s="4"/>
      <c r="Q2537" s="4"/>
    </row>
    <row r="2538">
      <c r="A2538" s="5">
        <v>2537.0</v>
      </c>
      <c r="B2538" s="5" t="s">
        <v>3062</v>
      </c>
      <c r="C2538" s="5" t="s">
        <v>775</v>
      </c>
      <c r="D2538" s="6">
        <f>IFERROR(__xludf.DUMMYFUNCTION("SPLIT(MID(C2538,2,LEN(C2538)-2), "","")"),2785.0)</f>
        <v>2785</v>
      </c>
      <c r="E2538" s="7"/>
      <c r="F2538" s="7"/>
      <c r="G2538" s="2" t="str">
        <f t="array" ref="G2538">IF(ISBLANK(D2538), "", INDEX(Categories!$B:$B,MATCH(D2538,Categories!$A:$A,0)))</f>
        <v>Home Improvement Centers</v>
      </c>
      <c r="H2538" s="7" t="str">
        <f t="array" ref="H2538">IF(ISBLANK(E2538), "", INDEX(Categories!$B:$B,MATCH(E2538,Categories!$A:$A,0)))</f>
        <v/>
      </c>
      <c r="I2538" s="7" t="str">
        <f t="array" ref="I2538">IF(ISBLANK(F2538), "", INDEX(Categories!$B:$B,MATCH(F2538,Categories!$A:$A,0)))</f>
        <v/>
      </c>
      <c r="J2538" s="4"/>
      <c r="K2538" s="4"/>
      <c r="L2538" s="4"/>
      <c r="M2538" s="4"/>
      <c r="N2538" s="4"/>
      <c r="O2538" s="4"/>
      <c r="P2538" s="4"/>
      <c r="Q2538" s="4"/>
    </row>
    <row r="2539">
      <c r="A2539" s="5">
        <v>2538.0</v>
      </c>
      <c r="B2539" s="5" t="s">
        <v>3063</v>
      </c>
      <c r="C2539" s="5" t="s">
        <v>364</v>
      </c>
      <c r="D2539" s="6">
        <f>IFERROR(__xludf.DUMMYFUNCTION("SPLIT(MID(C2539,2,LEN(C2539)-2), "","")"),555.0)</f>
        <v>555</v>
      </c>
      <c r="E2539" s="7"/>
      <c r="F2539" s="7"/>
      <c r="G2539" s="2" t="str">
        <f t="array" ref="G2539">IF(ISBLANK(D2539), "", INDEX(Categories!$B:$B,MATCH(D2539,Categories!$A:$A,0)))</f>
        <v>Dry Cleaners</v>
      </c>
      <c r="H2539" s="7" t="str">
        <f t="array" ref="H2539">IF(ISBLANK(E2539), "", INDEX(Categories!$B:$B,MATCH(E2539,Categories!$A:$A,0)))</f>
        <v/>
      </c>
      <c r="I2539" s="7" t="str">
        <f t="array" ref="I2539">IF(ISBLANK(F2539), "", INDEX(Categories!$B:$B,MATCH(F2539,Categories!$A:$A,0)))</f>
        <v/>
      </c>
      <c r="J2539" s="4"/>
      <c r="K2539" s="4"/>
      <c r="L2539" s="4"/>
      <c r="M2539" s="4"/>
      <c r="N2539" s="4"/>
      <c r="O2539" s="4"/>
      <c r="P2539" s="4"/>
      <c r="Q2539" s="4"/>
    </row>
    <row r="2540">
      <c r="A2540" s="5">
        <v>2539.0</v>
      </c>
      <c r="B2540" s="5" t="s">
        <v>3064</v>
      </c>
      <c r="C2540" s="5" t="s">
        <v>1148</v>
      </c>
      <c r="D2540" s="6">
        <f>IFERROR(__xludf.DUMMYFUNCTION("SPLIT(MID(C2540,2,LEN(C2540)-2), "","")"),235.0)</f>
        <v>235</v>
      </c>
      <c r="E2540" s="7"/>
      <c r="F2540" s="7"/>
      <c r="G2540" s="2" t="str">
        <f t="array" ref="G2540">IF(ISBLANK(D2540), "", INDEX(Categories!$B:$B,MATCH(D2540,Categories!$A:$A,0)))</f>
        <v>Restaurants Barbecue</v>
      </c>
      <c r="H2540" s="7" t="str">
        <f t="array" ref="H2540">IF(ISBLANK(E2540), "", INDEX(Categories!$B:$B,MATCH(E2540,Categories!$A:$A,0)))</f>
        <v/>
      </c>
      <c r="I2540" s="7" t="str">
        <f t="array" ref="I2540">IF(ISBLANK(F2540), "", INDEX(Categories!$B:$B,MATCH(F2540,Categories!$A:$A,0)))</f>
        <v/>
      </c>
      <c r="J2540" s="4"/>
      <c r="K2540" s="4"/>
      <c r="L2540" s="4"/>
      <c r="M2540" s="4"/>
      <c r="N2540" s="4"/>
      <c r="O2540" s="4"/>
      <c r="P2540" s="4"/>
      <c r="Q2540" s="4"/>
    </row>
    <row r="2541">
      <c r="A2541" s="5">
        <v>2540.0</v>
      </c>
      <c r="B2541" s="5" t="s">
        <v>3065</v>
      </c>
      <c r="C2541" s="5" t="s">
        <v>1166</v>
      </c>
      <c r="D2541" s="6">
        <f>IFERROR(__xludf.DUMMYFUNCTION("SPLIT(MID(C2541,2,LEN(C2541)-2), "","")"),1.0)</f>
        <v>1</v>
      </c>
      <c r="E2541" s="7"/>
      <c r="F2541" s="7"/>
      <c r="G2541" s="2" t="str">
        <f t="array" ref="G2541">IF(ISBLANK(D2541), "", INDEX(Categories!$B:$B,MATCH(D2541,Categories!$A:$A,0)))</f>
        <v>Automobile - Dealers</v>
      </c>
      <c r="H2541" s="7" t="str">
        <f t="array" ref="H2541">IF(ISBLANK(E2541), "", INDEX(Categories!$B:$B,MATCH(E2541,Categories!$A:$A,0)))</f>
        <v/>
      </c>
      <c r="I2541" s="7" t="str">
        <f t="array" ref="I2541">IF(ISBLANK(F2541), "", INDEX(Categories!$B:$B,MATCH(F2541,Categories!$A:$A,0)))</f>
        <v/>
      </c>
      <c r="J2541" s="4"/>
      <c r="K2541" s="4"/>
      <c r="L2541" s="4"/>
      <c r="M2541" s="4"/>
      <c r="N2541" s="4"/>
      <c r="O2541" s="4"/>
      <c r="P2541" s="4"/>
      <c r="Q2541" s="4"/>
    </row>
    <row r="2542">
      <c r="A2542" s="5">
        <v>2541.0</v>
      </c>
      <c r="B2542" s="5" t="s">
        <v>3066</v>
      </c>
      <c r="C2542" s="5" t="s">
        <v>10</v>
      </c>
      <c r="D2542" s="6">
        <f>IFERROR(__xludf.DUMMYFUNCTION("SPLIT(MID(C2542,2,LEN(C2542)-2), "","")"),1168.0)</f>
        <v>1168</v>
      </c>
      <c r="E2542" s="7"/>
      <c r="F2542" s="7"/>
      <c r="G2542" s="2" t="str">
        <f t="array" ref="G2542">IF(ISBLANK(D2542), "", INDEX(Categories!$B:$B,MATCH(D2542,Categories!$A:$A,0)))</f>
        <v>Convenience Stores</v>
      </c>
      <c r="H2542" s="7" t="str">
        <f t="array" ref="H2542">IF(ISBLANK(E2542), "", INDEX(Categories!$B:$B,MATCH(E2542,Categories!$A:$A,0)))</f>
        <v/>
      </c>
      <c r="I2542" s="7" t="str">
        <f t="array" ref="I2542">IF(ISBLANK(F2542), "", INDEX(Categories!$B:$B,MATCH(F2542,Categories!$A:$A,0)))</f>
        <v/>
      </c>
      <c r="J2542" s="4"/>
      <c r="K2542" s="4"/>
      <c r="L2542" s="4"/>
      <c r="M2542" s="4"/>
      <c r="N2542" s="4"/>
      <c r="O2542" s="4"/>
      <c r="P2542" s="4"/>
      <c r="Q2542" s="4"/>
    </row>
    <row r="2543">
      <c r="A2543" s="5">
        <v>2542.0</v>
      </c>
      <c r="B2543" s="5" t="s">
        <v>3067</v>
      </c>
      <c r="C2543" s="5" t="s">
        <v>43</v>
      </c>
      <c r="D2543" s="6">
        <f>IFERROR(__xludf.DUMMYFUNCTION("SPLIT(MID(C2543,2,LEN(C2543)-2), "","")"),292.0)</f>
        <v>292</v>
      </c>
      <c r="E2543" s="7"/>
      <c r="F2543" s="7"/>
      <c r="G2543" s="2" t="str">
        <f t="array" ref="G2543">IF(ISBLANK(D2543), "", INDEX(Categories!$B:$B,MATCH(D2543,Categories!$A:$A,0)))</f>
        <v>Banks</v>
      </c>
      <c r="H2543" s="7" t="str">
        <f t="array" ref="H2543">IF(ISBLANK(E2543), "", INDEX(Categories!$B:$B,MATCH(E2543,Categories!$A:$A,0)))</f>
        <v/>
      </c>
      <c r="I2543" s="7" t="str">
        <f t="array" ref="I2543">IF(ISBLANK(F2543), "", INDEX(Categories!$B:$B,MATCH(F2543,Categories!$A:$A,0)))</f>
        <v/>
      </c>
      <c r="J2543" s="4"/>
      <c r="K2543" s="4"/>
      <c r="L2543" s="4"/>
      <c r="M2543" s="4"/>
      <c r="N2543" s="4"/>
      <c r="O2543" s="4"/>
      <c r="P2543" s="4"/>
      <c r="Q2543" s="4"/>
    </row>
    <row r="2544">
      <c r="A2544" s="5">
        <v>2543.0</v>
      </c>
      <c r="B2544" s="5" t="s">
        <v>3068</v>
      </c>
      <c r="C2544" s="5" t="s">
        <v>1224</v>
      </c>
      <c r="D2544" s="6">
        <f>IFERROR(__xludf.DUMMYFUNCTION("SPLIT(MID(C2544,2,LEN(C2544)-2), "","")"),129.0)</f>
        <v>129</v>
      </c>
      <c r="E2544" s="7"/>
      <c r="F2544" s="7"/>
      <c r="G2544" s="2" t="str">
        <f t="array" ref="G2544">IF(ISBLANK(D2544), "", INDEX(Categories!$B:$B,MATCH(D2544,Categories!$A:$A,0)))</f>
        <v>Insurance Automobile</v>
      </c>
      <c r="H2544" s="7" t="str">
        <f t="array" ref="H2544">IF(ISBLANK(E2544), "", INDEX(Categories!$B:$B,MATCH(E2544,Categories!$A:$A,0)))</f>
        <v/>
      </c>
      <c r="I2544" s="7" t="str">
        <f t="array" ref="I2544">IF(ISBLANK(F2544), "", INDEX(Categories!$B:$B,MATCH(F2544,Categories!$A:$A,0)))</f>
        <v/>
      </c>
      <c r="J2544" s="4"/>
      <c r="K2544" s="4"/>
      <c r="L2544" s="4"/>
      <c r="M2544" s="4"/>
      <c r="N2544" s="4"/>
      <c r="O2544" s="4"/>
      <c r="P2544" s="4"/>
      <c r="Q2544" s="4"/>
    </row>
    <row r="2545">
      <c r="A2545" s="5">
        <v>2544.0</v>
      </c>
      <c r="B2545" s="5" t="s">
        <v>3069</v>
      </c>
      <c r="C2545" s="5" t="s">
        <v>1270</v>
      </c>
      <c r="D2545" s="6">
        <f>IFERROR(__xludf.DUMMYFUNCTION("SPLIT(MID(C2545,2,LEN(C2545)-2), "","")"),1884.0)</f>
        <v>1884</v>
      </c>
      <c r="E2545" s="7"/>
      <c r="F2545" s="7"/>
      <c r="G2545" s="2" t="str">
        <f t="array" ref="G2545">IF(ISBLANK(D2545), "", INDEX(Categories!$B:$B,MATCH(D2545,Categories!$A:$A,0)))</f>
        <v>Pet Grooming &amp; Washing</v>
      </c>
      <c r="H2545" s="7" t="str">
        <f t="array" ref="H2545">IF(ISBLANK(E2545), "", INDEX(Categories!$B:$B,MATCH(E2545,Categories!$A:$A,0)))</f>
        <v/>
      </c>
      <c r="I2545" s="7" t="str">
        <f t="array" ref="I2545">IF(ISBLANK(F2545), "", INDEX(Categories!$B:$B,MATCH(F2545,Categories!$A:$A,0)))</f>
        <v/>
      </c>
      <c r="J2545" s="4"/>
      <c r="K2545" s="4"/>
      <c r="L2545" s="4"/>
      <c r="M2545" s="4"/>
      <c r="N2545" s="4"/>
      <c r="O2545" s="4"/>
      <c r="P2545" s="4"/>
      <c r="Q2545" s="4"/>
    </row>
    <row r="2546">
      <c r="A2546" s="5">
        <v>2545.0</v>
      </c>
      <c r="B2546" s="5" t="s">
        <v>3070</v>
      </c>
      <c r="C2546" s="5" t="s">
        <v>1895</v>
      </c>
      <c r="D2546" s="6">
        <f>IFERROR(__xludf.DUMMYFUNCTION("SPLIT(MID(C2546,2,LEN(C2546)-2), "","")"),2285.0)</f>
        <v>2285</v>
      </c>
      <c r="E2546" s="7"/>
      <c r="F2546" s="7"/>
      <c r="G2546" s="2" t="str">
        <f t="array" ref="G2546">IF(ISBLANK(D2546), "", INDEX(Categories!$B:$B,MATCH(D2546,Categories!$A:$A,0)))</f>
        <v>Amusement Places</v>
      </c>
      <c r="H2546" s="7" t="str">
        <f t="array" ref="H2546">IF(ISBLANK(E2546), "", INDEX(Categories!$B:$B,MATCH(E2546,Categories!$A:$A,0)))</f>
        <v/>
      </c>
      <c r="I2546" s="7" t="str">
        <f t="array" ref="I2546">IF(ISBLANK(F2546), "", INDEX(Categories!$B:$B,MATCH(F2546,Categories!$A:$A,0)))</f>
        <v/>
      </c>
      <c r="J2546" s="4"/>
      <c r="K2546" s="4"/>
      <c r="L2546" s="4"/>
      <c r="M2546" s="4"/>
      <c r="N2546" s="4"/>
      <c r="O2546" s="4"/>
      <c r="P2546" s="4"/>
      <c r="Q2546" s="4"/>
    </row>
    <row r="2547">
      <c r="A2547" s="5">
        <v>2546.0</v>
      </c>
      <c r="B2547" s="5" t="s">
        <v>3071</v>
      </c>
      <c r="C2547" s="5" t="s">
        <v>34</v>
      </c>
      <c r="D2547" s="6">
        <f>IFERROR(__xludf.DUMMYFUNCTION("SPLIT(MID(C2547,2,LEN(C2547)-2), "","")"),228.0)</f>
        <v>228</v>
      </c>
      <c r="E2547" s="7"/>
      <c r="F2547" s="7"/>
      <c r="G2547" s="2" t="str">
        <f t="array" ref="G2547">IF(ISBLANK(D2547), "", INDEX(Categories!$B:$B,MATCH(D2547,Categories!$A:$A,0)))</f>
        <v>Restaurants</v>
      </c>
      <c r="H2547" s="7" t="str">
        <f t="array" ref="H2547">IF(ISBLANK(E2547), "", INDEX(Categories!$B:$B,MATCH(E2547,Categories!$A:$A,0)))</f>
        <v/>
      </c>
      <c r="I2547" s="7" t="str">
        <f t="array" ref="I2547">IF(ISBLANK(F2547), "", INDEX(Categories!$B:$B,MATCH(F2547,Categories!$A:$A,0)))</f>
        <v/>
      </c>
      <c r="J2547" s="4"/>
      <c r="K2547" s="4"/>
      <c r="L2547" s="4"/>
      <c r="M2547" s="4"/>
      <c r="N2547" s="4"/>
      <c r="O2547" s="4"/>
      <c r="P2547" s="4"/>
      <c r="Q2547" s="4"/>
    </row>
    <row r="2548">
      <c r="A2548" s="5">
        <v>2547.0</v>
      </c>
      <c r="B2548" s="5" t="s">
        <v>3072</v>
      </c>
      <c r="C2548" s="5" t="s">
        <v>62</v>
      </c>
      <c r="D2548" s="6">
        <f>IFERROR(__xludf.DUMMYFUNCTION("SPLIT(MID(C2548,2,LEN(C2548)-2), "","")"),242.0)</f>
        <v>242</v>
      </c>
      <c r="E2548" s="7"/>
      <c r="F2548" s="7"/>
      <c r="G2548" s="2" t="str">
        <f t="array" ref="G2548">IF(ISBLANK(D2548), "", INDEX(Categories!$B:$B,MATCH(D2548,Categories!$A:$A,0)))</f>
        <v>Restaurants Pizza</v>
      </c>
      <c r="H2548" s="7" t="str">
        <f t="array" ref="H2548">IF(ISBLANK(E2548), "", INDEX(Categories!$B:$B,MATCH(E2548,Categories!$A:$A,0)))</f>
        <v/>
      </c>
      <c r="I2548" s="7" t="str">
        <f t="array" ref="I2548">IF(ISBLANK(F2548), "", INDEX(Categories!$B:$B,MATCH(F2548,Categories!$A:$A,0)))</f>
        <v/>
      </c>
      <c r="J2548" s="4"/>
      <c r="K2548" s="4"/>
      <c r="L2548" s="4"/>
      <c r="M2548" s="4"/>
      <c r="N2548" s="4"/>
      <c r="O2548" s="4"/>
      <c r="P2548" s="4"/>
      <c r="Q2548" s="4"/>
    </row>
    <row r="2549">
      <c r="A2549" s="5">
        <v>2548.0</v>
      </c>
      <c r="B2549" s="5" t="s">
        <v>3073</v>
      </c>
      <c r="C2549" s="5" t="s">
        <v>1348</v>
      </c>
      <c r="D2549" s="6">
        <f>IFERROR(__xludf.DUMMYFUNCTION("SPLIT(MID(C2549,2,LEN(C2549)-2), "","")"),594.0)</f>
        <v>594</v>
      </c>
      <c r="E2549" s="7"/>
      <c r="F2549" s="7"/>
      <c r="G2549" s="2" t="str">
        <f t="array" ref="G2549">IF(ISBLANK(D2549), "", INDEX(Categories!$B:$B,MATCH(D2549,Categories!$A:$A,0)))</f>
        <v>Juices</v>
      </c>
      <c r="H2549" s="7" t="str">
        <f t="array" ref="H2549">IF(ISBLANK(E2549), "", INDEX(Categories!$B:$B,MATCH(E2549,Categories!$A:$A,0)))</f>
        <v/>
      </c>
      <c r="I2549" s="7" t="str">
        <f t="array" ref="I2549">IF(ISBLANK(F2549), "", INDEX(Categories!$B:$B,MATCH(F2549,Categories!$A:$A,0)))</f>
        <v/>
      </c>
      <c r="J2549" s="4"/>
      <c r="K2549" s="4"/>
      <c r="L2549" s="4"/>
      <c r="M2549" s="4"/>
      <c r="N2549" s="4"/>
      <c r="O2549" s="4"/>
      <c r="P2549" s="4"/>
      <c r="Q2549" s="4"/>
    </row>
    <row r="2550">
      <c r="A2550" s="5">
        <v>2549.0</v>
      </c>
      <c r="B2550" s="5" t="s">
        <v>3074</v>
      </c>
      <c r="C2550" s="5" t="s">
        <v>1348</v>
      </c>
      <c r="D2550" s="6">
        <f>IFERROR(__xludf.DUMMYFUNCTION("SPLIT(MID(C2550,2,LEN(C2550)-2), "","")"),594.0)</f>
        <v>594</v>
      </c>
      <c r="E2550" s="7"/>
      <c r="F2550" s="7"/>
      <c r="G2550" s="2" t="str">
        <f t="array" ref="G2550">IF(ISBLANK(D2550), "", INDEX(Categories!$B:$B,MATCH(D2550,Categories!$A:$A,0)))</f>
        <v>Juices</v>
      </c>
      <c r="H2550" s="7" t="str">
        <f t="array" ref="H2550">IF(ISBLANK(E2550), "", INDEX(Categories!$B:$B,MATCH(E2550,Categories!$A:$A,0)))</f>
        <v/>
      </c>
      <c r="I2550" s="7" t="str">
        <f t="array" ref="I2550">IF(ISBLANK(F2550), "", INDEX(Categories!$B:$B,MATCH(F2550,Categories!$A:$A,0)))</f>
        <v/>
      </c>
      <c r="J2550" s="4"/>
      <c r="K2550" s="4"/>
      <c r="L2550" s="4"/>
      <c r="M2550" s="4"/>
      <c r="N2550" s="4"/>
      <c r="O2550" s="4"/>
      <c r="P2550" s="4"/>
      <c r="Q2550" s="4"/>
    </row>
    <row r="2551">
      <c r="A2551" s="5">
        <v>2550.0</v>
      </c>
      <c r="B2551" s="5" t="s">
        <v>3075</v>
      </c>
      <c r="C2551" s="5" t="s">
        <v>1980</v>
      </c>
      <c r="D2551" s="6">
        <f>IFERROR(__xludf.DUMMYFUNCTION("SPLIT(MID(C2551,2,LEN(C2551)-2), "","")"),2092.0)</f>
        <v>2092</v>
      </c>
      <c r="E2551" s="7"/>
      <c r="F2551" s="7"/>
      <c r="G2551" s="2" t="str">
        <f t="array" ref="G2551">IF(ISBLANK(D2551), "", INDEX(Categories!$B:$B,MATCH(D2551,Categories!$A:$A,0)))</f>
        <v>Mattresses &amp; Bedding</v>
      </c>
      <c r="H2551" s="7" t="str">
        <f t="array" ref="H2551">IF(ISBLANK(E2551), "", INDEX(Categories!$B:$B,MATCH(E2551,Categories!$A:$A,0)))</f>
        <v/>
      </c>
      <c r="I2551" s="7" t="str">
        <f t="array" ref="I2551">IF(ISBLANK(F2551), "", INDEX(Categories!$B:$B,MATCH(F2551,Categories!$A:$A,0)))</f>
        <v/>
      </c>
      <c r="J2551" s="4"/>
      <c r="K2551" s="4"/>
      <c r="L2551" s="4"/>
      <c r="M2551" s="4"/>
      <c r="N2551" s="4"/>
      <c r="O2551" s="4"/>
      <c r="P2551" s="4"/>
      <c r="Q2551" s="4"/>
    </row>
    <row r="2552">
      <c r="A2552" s="5">
        <v>2551.0</v>
      </c>
      <c r="B2552" s="5" t="s">
        <v>2902</v>
      </c>
      <c r="C2552" s="5" t="s">
        <v>62</v>
      </c>
      <c r="D2552" s="6">
        <f>IFERROR(__xludf.DUMMYFUNCTION("SPLIT(MID(C2552,2,LEN(C2552)-2), "","")"),242.0)</f>
        <v>242</v>
      </c>
      <c r="E2552" s="7"/>
      <c r="F2552" s="7"/>
      <c r="G2552" s="2" t="str">
        <f t="array" ref="G2552">IF(ISBLANK(D2552), "", INDEX(Categories!$B:$B,MATCH(D2552,Categories!$A:$A,0)))</f>
        <v>Restaurants Pizza</v>
      </c>
      <c r="H2552" s="7" t="str">
        <f t="array" ref="H2552">IF(ISBLANK(E2552), "", INDEX(Categories!$B:$B,MATCH(E2552,Categories!$A:$A,0)))</f>
        <v/>
      </c>
      <c r="I2552" s="7" t="str">
        <f t="array" ref="I2552">IF(ISBLANK(F2552), "", INDEX(Categories!$B:$B,MATCH(F2552,Categories!$A:$A,0)))</f>
        <v/>
      </c>
      <c r="J2552" s="4"/>
      <c r="K2552" s="4"/>
      <c r="L2552" s="4"/>
      <c r="M2552" s="4"/>
      <c r="N2552" s="4"/>
      <c r="O2552" s="4"/>
      <c r="P2552" s="4"/>
      <c r="Q2552" s="4"/>
    </row>
    <row r="2553">
      <c r="A2553" s="5">
        <v>2552.0</v>
      </c>
      <c r="B2553" s="5" t="s">
        <v>3076</v>
      </c>
      <c r="C2553" s="5" t="s">
        <v>128</v>
      </c>
      <c r="D2553" s="6">
        <f>IFERROR(__xludf.DUMMYFUNCTION("SPLIT(MID(C2553,2,LEN(C2553)-2), "","")"),110.0)</f>
        <v>110</v>
      </c>
      <c r="E2553" s="7"/>
      <c r="F2553" s="7"/>
      <c r="G2553" s="2" t="str">
        <f t="array" ref="G2553">IF(ISBLANK(D2553), "", INDEX(Categories!$B:$B,MATCH(D2553,Categories!$A:$A,0)))</f>
        <v>Automobile - Tires</v>
      </c>
      <c r="H2553" s="7" t="str">
        <f t="array" ref="H2553">IF(ISBLANK(E2553), "", INDEX(Categories!$B:$B,MATCH(E2553,Categories!$A:$A,0)))</f>
        <v/>
      </c>
      <c r="I2553" s="7" t="str">
        <f t="array" ref="I2553">IF(ISBLANK(F2553), "", INDEX(Categories!$B:$B,MATCH(F2553,Categories!$A:$A,0)))</f>
        <v/>
      </c>
      <c r="J2553" s="4"/>
      <c r="K2553" s="4"/>
      <c r="L2553" s="4"/>
      <c r="M2553" s="4"/>
      <c r="N2553" s="4"/>
      <c r="O2553" s="4"/>
      <c r="P2553" s="4"/>
      <c r="Q2553" s="4"/>
    </row>
    <row r="2554">
      <c r="A2554" s="5">
        <v>2553.0</v>
      </c>
      <c r="B2554" s="5" t="s">
        <v>3077</v>
      </c>
      <c r="C2554" s="5" t="s">
        <v>34</v>
      </c>
      <c r="D2554" s="6">
        <f>IFERROR(__xludf.DUMMYFUNCTION("SPLIT(MID(C2554,2,LEN(C2554)-2), "","")"),228.0)</f>
        <v>228</v>
      </c>
      <c r="E2554" s="7"/>
      <c r="F2554" s="7"/>
      <c r="G2554" s="2" t="str">
        <f t="array" ref="G2554">IF(ISBLANK(D2554), "", INDEX(Categories!$B:$B,MATCH(D2554,Categories!$A:$A,0)))</f>
        <v>Restaurants</v>
      </c>
      <c r="H2554" s="7" t="str">
        <f t="array" ref="H2554">IF(ISBLANK(E2554), "", INDEX(Categories!$B:$B,MATCH(E2554,Categories!$A:$A,0)))</f>
        <v/>
      </c>
      <c r="I2554" s="7" t="str">
        <f t="array" ref="I2554">IF(ISBLANK(F2554), "", INDEX(Categories!$B:$B,MATCH(F2554,Categories!$A:$A,0)))</f>
        <v/>
      </c>
      <c r="J2554" s="4"/>
      <c r="K2554" s="4"/>
      <c r="L2554" s="4"/>
      <c r="M2554" s="4"/>
      <c r="N2554" s="4"/>
      <c r="O2554" s="4"/>
      <c r="P2554" s="4"/>
      <c r="Q2554" s="4"/>
    </row>
    <row r="2555">
      <c r="A2555" s="5">
        <v>2554.0</v>
      </c>
      <c r="B2555" s="5" t="s">
        <v>3078</v>
      </c>
      <c r="C2555" s="5" t="s">
        <v>200</v>
      </c>
      <c r="D2555" s="6">
        <f>IFERROR(__xludf.DUMMYFUNCTION("SPLIT(MID(C2555,2,LEN(C2555)-2), "","")"),316.0)</f>
        <v>316</v>
      </c>
      <c r="E2555" s="7"/>
      <c r="F2555" s="7"/>
      <c r="G2555" s="2" t="str">
        <f t="array" ref="G2555">IF(ISBLANK(D2555), "", INDEX(Categories!$B:$B,MATCH(D2555,Categories!$A:$A,0)))</f>
        <v>Sporting Goods</v>
      </c>
      <c r="H2555" s="7" t="str">
        <f t="array" ref="H2555">IF(ISBLANK(E2555), "", INDEX(Categories!$B:$B,MATCH(E2555,Categories!$A:$A,0)))</f>
        <v/>
      </c>
      <c r="I2555" s="7" t="str">
        <f t="array" ref="I2555">IF(ISBLANK(F2555), "", INDEX(Categories!$B:$B,MATCH(F2555,Categories!$A:$A,0)))</f>
        <v/>
      </c>
      <c r="J2555" s="4"/>
      <c r="K2555" s="4"/>
      <c r="L2555" s="4"/>
      <c r="M2555" s="4"/>
      <c r="N2555" s="4"/>
      <c r="O2555" s="4"/>
      <c r="P2555" s="4"/>
      <c r="Q2555" s="4"/>
    </row>
    <row r="2556">
      <c r="A2556" s="5">
        <v>2555.0</v>
      </c>
      <c r="B2556" s="5" t="s">
        <v>3079</v>
      </c>
      <c r="C2556" s="5" t="s">
        <v>1382</v>
      </c>
      <c r="D2556" s="6">
        <f>IFERROR(__xludf.DUMMYFUNCTION("SPLIT(MID(C2556,2,LEN(C2556)-2), "","")"),2758.0)</f>
        <v>2758</v>
      </c>
      <c r="E2556" s="7"/>
      <c r="F2556" s="7"/>
      <c r="G2556" s="2" t="str">
        <f t="array" ref="G2556">IF(ISBLANK(D2556), "", INDEX(Categories!$B:$B,MATCH(D2556,Categories!$A:$A,0)))</f>
        <v>Business Consultants</v>
      </c>
      <c r="H2556" s="7" t="str">
        <f t="array" ref="H2556">IF(ISBLANK(E2556), "", INDEX(Categories!$B:$B,MATCH(E2556,Categories!$A:$A,0)))</f>
        <v/>
      </c>
      <c r="I2556" s="7" t="str">
        <f t="array" ref="I2556">IF(ISBLANK(F2556), "", INDEX(Categories!$B:$B,MATCH(F2556,Categories!$A:$A,0)))</f>
        <v/>
      </c>
      <c r="J2556" s="4"/>
      <c r="K2556" s="4"/>
      <c r="L2556" s="4"/>
      <c r="M2556" s="4"/>
      <c r="N2556" s="4"/>
      <c r="O2556" s="4"/>
      <c r="P2556" s="4"/>
      <c r="Q2556" s="4"/>
    </row>
    <row r="2557">
      <c r="A2557" s="5">
        <v>2556.0</v>
      </c>
      <c r="B2557" s="5" t="s">
        <v>3080</v>
      </c>
      <c r="C2557" s="5" t="s">
        <v>43</v>
      </c>
      <c r="D2557" s="6">
        <f>IFERROR(__xludf.DUMMYFUNCTION("SPLIT(MID(C2557,2,LEN(C2557)-2), "","")"),292.0)</f>
        <v>292</v>
      </c>
      <c r="E2557" s="7"/>
      <c r="F2557" s="7"/>
      <c r="G2557" s="2" t="str">
        <f t="array" ref="G2557">IF(ISBLANK(D2557), "", INDEX(Categories!$B:$B,MATCH(D2557,Categories!$A:$A,0)))</f>
        <v>Banks</v>
      </c>
      <c r="H2557" s="7" t="str">
        <f t="array" ref="H2557">IF(ISBLANK(E2557), "", INDEX(Categories!$B:$B,MATCH(E2557,Categories!$A:$A,0)))</f>
        <v/>
      </c>
      <c r="I2557" s="7" t="str">
        <f t="array" ref="I2557">IF(ISBLANK(F2557), "", INDEX(Categories!$B:$B,MATCH(F2557,Categories!$A:$A,0)))</f>
        <v/>
      </c>
      <c r="J2557" s="4"/>
      <c r="K2557" s="4"/>
      <c r="L2557" s="4"/>
      <c r="M2557" s="4"/>
      <c r="N2557" s="4"/>
      <c r="O2557" s="4"/>
      <c r="P2557" s="4"/>
      <c r="Q2557" s="4"/>
    </row>
    <row r="2558">
      <c r="A2558" s="5">
        <v>2557.0</v>
      </c>
      <c r="B2558" s="5" t="s">
        <v>3081</v>
      </c>
      <c r="C2558" s="5" t="s">
        <v>1980</v>
      </c>
      <c r="D2558" s="6">
        <f>IFERROR(__xludf.DUMMYFUNCTION("SPLIT(MID(C2558,2,LEN(C2558)-2), "","")"),2092.0)</f>
        <v>2092</v>
      </c>
      <c r="E2558" s="7"/>
      <c r="F2558" s="7"/>
      <c r="G2558" s="2" t="str">
        <f t="array" ref="G2558">IF(ISBLANK(D2558), "", INDEX(Categories!$B:$B,MATCH(D2558,Categories!$A:$A,0)))</f>
        <v>Mattresses &amp; Bedding</v>
      </c>
      <c r="H2558" s="7" t="str">
        <f t="array" ref="H2558">IF(ISBLANK(E2558), "", INDEX(Categories!$B:$B,MATCH(E2558,Categories!$A:$A,0)))</f>
        <v/>
      </c>
      <c r="I2558" s="7" t="str">
        <f t="array" ref="I2558">IF(ISBLANK(F2558), "", INDEX(Categories!$B:$B,MATCH(F2558,Categories!$A:$A,0)))</f>
        <v/>
      </c>
      <c r="J2558" s="4"/>
      <c r="K2558" s="4"/>
      <c r="L2558" s="4"/>
      <c r="M2558" s="4"/>
      <c r="N2558" s="4"/>
      <c r="O2558" s="4"/>
      <c r="P2558" s="4"/>
      <c r="Q2558" s="4"/>
    </row>
    <row r="2559">
      <c r="A2559" s="5">
        <v>2558.0</v>
      </c>
      <c r="B2559" s="5" t="s">
        <v>3082</v>
      </c>
      <c r="C2559" s="5" t="s">
        <v>34</v>
      </c>
      <c r="D2559" s="6">
        <f>IFERROR(__xludf.DUMMYFUNCTION("SPLIT(MID(C2559,2,LEN(C2559)-2), "","")"),228.0)</f>
        <v>228</v>
      </c>
      <c r="E2559" s="7"/>
      <c r="F2559" s="7"/>
      <c r="G2559" s="2" t="str">
        <f t="array" ref="G2559">IF(ISBLANK(D2559), "", INDEX(Categories!$B:$B,MATCH(D2559,Categories!$A:$A,0)))</f>
        <v>Restaurants</v>
      </c>
      <c r="H2559" s="7" t="str">
        <f t="array" ref="H2559">IF(ISBLANK(E2559), "", INDEX(Categories!$B:$B,MATCH(E2559,Categories!$A:$A,0)))</f>
        <v/>
      </c>
      <c r="I2559" s="7" t="str">
        <f t="array" ref="I2559">IF(ISBLANK(F2559), "", INDEX(Categories!$B:$B,MATCH(F2559,Categories!$A:$A,0)))</f>
        <v/>
      </c>
      <c r="J2559" s="4"/>
      <c r="K2559" s="4"/>
      <c r="L2559" s="4"/>
      <c r="M2559" s="4"/>
      <c r="N2559" s="4"/>
      <c r="O2559" s="4"/>
      <c r="P2559" s="4"/>
      <c r="Q2559" s="4"/>
    </row>
    <row r="2560">
      <c r="A2560" s="5">
        <v>2559.0</v>
      </c>
      <c r="B2560" s="5" t="s">
        <v>3083</v>
      </c>
      <c r="C2560" s="5" t="s">
        <v>775</v>
      </c>
      <c r="D2560" s="6">
        <f>IFERROR(__xludf.DUMMYFUNCTION("SPLIT(MID(C2560,2,LEN(C2560)-2), "","")"),2785.0)</f>
        <v>2785</v>
      </c>
      <c r="E2560" s="7"/>
      <c r="F2560" s="7"/>
      <c r="G2560" s="2" t="str">
        <f t="array" ref="G2560">IF(ISBLANK(D2560), "", INDEX(Categories!$B:$B,MATCH(D2560,Categories!$A:$A,0)))</f>
        <v>Home Improvement Centers</v>
      </c>
      <c r="H2560" s="7" t="str">
        <f t="array" ref="H2560">IF(ISBLANK(E2560), "", INDEX(Categories!$B:$B,MATCH(E2560,Categories!$A:$A,0)))</f>
        <v/>
      </c>
      <c r="I2560" s="7" t="str">
        <f t="array" ref="I2560">IF(ISBLANK(F2560), "", INDEX(Categories!$B:$B,MATCH(F2560,Categories!$A:$A,0)))</f>
        <v/>
      </c>
      <c r="J2560" s="4"/>
      <c r="K2560" s="4"/>
      <c r="L2560" s="4"/>
      <c r="M2560" s="4"/>
      <c r="N2560" s="4"/>
      <c r="O2560" s="4"/>
      <c r="P2560" s="4"/>
      <c r="Q2560" s="4"/>
    </row>
    <row r="2561">
      <c r="A2561" s="5">
        <v>2560.0</v>
      </c>
      <c r="B2561" s="5" t="s">
        <v>3084</v>
      </c>
      <c r="C2561" s="5" t="s">
        <v>34</v>
      </c>
      <c r="D2561" s="6">
        <f>IFERROR(__xludf.DUMMYFUNCTION("SPLIT(MID(C2561,2,LEN(C2561)-2), "","")"),228.0)</f>
        <v>228</v>
      </c>
      <c r="E2561" s="7"/>
      <c r="F2561" s="7"/>
      <c r="G2561" s="2" t="str">
        <f t="array" ref="G2561">IF(ISBLANK(D2561), "", INDEX(Categories!$B:$B,MATCH(D2561,Categories!$A:$A,0)))</f>
        <v>Restaurants</v>
      </c>
      <c r="H2561" s="7" t="str">
        <f t="array" ref="H2561">IF(ISBLANK(E2561), "", INDEX(Categories!$B:$B,MATCH(E2561,Categories!$A:$A,0)))</f>
        <v/>
      </c>
      <c r="I2561" s="7" t="str">
        <f t="array" ref="I2561">IF(ISBLANK(F2561), "", INDEX(Categories!$B:$B,MATCH(F2561,Categories!$A:$A,0)))</f>
        <v/>
      </c>
      <c r="J2561" s="4"/>
      <c r="K2561" s="4"/>
      <c r="L2561" s="4"/>
      <c r="M2561" s="4"/>
      <c r="N2561" s="4"/>
      <c r="O2561" s="4"/>
      <c r="P2561" s="4"/>
      <c r="Q2561" s="4"/>
    </row>
    <row r="2562">
      <c r="A2562" s="5">
        <v>2561.0</v>
      </c>
      <c r="B2562" s="5" t="s">
        <v>3085</v>
      </c>
      <c r="C2562" s="5" t="s">
        <v>3086</v>
      </c>
      <c r="D2562" s="6">
        <f>IFERROR(__xludf.DUMMYFUNCTION("SPLIT(MID(C2562,2,LEN(C2562)-2), "","")"),2589.0)</f>
        <v>2589</v>
      </c>
      <c r="E2562" s="7"/>
      <c r="F2562" s="7"/>
      <c r="G2562" s="2" t="str">
        <f t="array" ref="G2562">IF(ISBLANK(D2562), "", INDEX(Categories!$B:$B,MATCH(D2562,Categories!$A:$A,0)))</f>
        <v>Window Tinting Materials</v>
      </c>
      <c r="H2562" s="7" t="str">
        <f t="array" ref="H2562">IF(ISBLANK(E2562), "", INDEX(Categories!$B:$B,MATCH(E2562,Categories!$A:$A,0)))</f>
        <v/>
      </c>
      <c r="I2562" s="7" t="str">
        <f t="array" ref="I2562">IF(ISBLANK(F2562), "", INDEX(Categories!$B:$B,MATCH(F2562,Categories!$A:$A,0)))</f>
        <v/>
      </c>
      <c r="J2562" s="4"/>
      <c r="K2562" s="4"/>
      <c r="L2562" s="4"/>
      <c r="M2562" s="4"/>
      <c r="N2562" s="4"/>
      <c r="O2562" s="4"/>
      <c r="P2562" s="4"/>
      <c r="Q2562" s="4"/>
    </row>
    <row r="2563">
      <c r="A2563" s="5">
        <v>2562.0</v>
      </c>
      <c r="B2563" s="5" t="s">
        <v>3087</v>
      </c>
      <c r="C2563" s="5" t="s">
        <v>1224</v>
      </c>
      <c r="D2563" s="6">
        <f>IFERROR(__xludf.DUMMYFUNCTION("SPLIT(MID(C2563,2,LEN(C2563)-2), "","")"),129.0)</f>
        <v>129</v>
      </c>
      <c r="E2563" s="7"/>
      <c r="F2563" s="7"/>
      <c r="G2563" s="2" t="str">
        <f t="array" ref="G2563">IF(ISBLANK(D2563), "", INDEX(Categories!$B:$B,MATCH(D2563,Categories!$A:$A,0)))</f>
        <v>Insurance Automobile</v>
      </c>
      <c r="H2563" s="7" t="str">
        <f t="array" ref="H2563">IF(ISBLANK(E2563), "", INDEX(Categories!$B:$B,MATCH(E2563,Categories!$A:$A,0)))</f>
        <v/>
      </c>
      <c r="I2563" s="7" t="str">
        <f t="array" ref="I2563">IF(ISBLANK(F2563), "", INDEX(Categories!$B:$B,MATCH(F2563,Categories!$A:$A,0)))</f>
        <v/>
      </c>
      <c r="J2563" s="4"/>
      <c r="K2563" s="4"/>
      <c r="L2563" s="4"/>
      <c r="M2563" s="4"/>
      <c r="N2563" s="4"/>
      <c r="O2563" s="4"/>
      <c r="P2563" s="4"/>
      <c r="Q2563" s="4"/>
    </row>
    <row r="2564">
      <c r="A2564" s="5">
        <v>2563.0</v>
      </c>
      <c r="B2564" s="5" t="s">
        <v>3088</v>
      </c>
      <c r="C2564" s="5" t="s">
        <v>1224</v>
      </c>
      <c r="D2564" s="6">
        <f>IFERROR(__xludf.DUMMYFUNCTION("SPLIT(MID(C2564,2,LEN(C2564)-2), "","")"),129.0)</f>
        <v>129</v>
      </c>
      <c r="E2564" s="7"/>
      <c r="F2564" s="7"/>
      <c r="G2564" s="2" t="str">
        <f t="array" ref="G2564">IF(ISBLANK(D2564), "", INDEX(Categories!$B:$B,MATCH(D2564,Categories!$A:$A,0)))</f>
        <v>Insurance Automobile</v>
      </c>
      <c r="H2564" s="7" t="str">
        <f t="array" ref="H2564">IF(ISBLANK(E2564), "", INDEX(Categories!$B:$B,MATCH(E2564,Categories!$A:$A,0)))</f>
        <v/>
      </c>
      <c r="I2564" s="7" t="str">
        <f t="array" ref="I2564">IF(ISBLANK(F2564), "", INDEX(Categories!$B:$B,MATCH(F2564,Categories!$A:$A,0)))</f>
        <v/>
      </c>
      <c r="J2564" s="4"/>
      <c r="K2564" s="4"/>
      <c r="L2564" s="4"/>
      <c r="M2564" s="4"/>
      <c r="N2564" s="4"/>
      <c r="O2564" s="4"/>
      <c r="P2564" s="4"/>
      <c r="Q2564" s="4"/>
    </row>
    <row r="2565">
      <c r="A2565" s="5">
        <v>2564.0</v>
      </c>
      <c r="B2565" s="5" t="s">
        <v>3089</v>
      </c>
      <c r="C2565" s="5" t="s">
        <v>3090</v>
      </c>
      <c r="D2565" s="6">
        <f>IFERROR(__xludf.DUMMYFUNCTION("SPLIT(MID(C2565,2,LEN(C2565)-2), "","")"),1496.0)</f>
        <v>1496</v>
      </c>
      <c r="E2565" s="7"/>
      <c r="F2565" s="7"/>
      <c r="G2565" s="2" t="str">
        <f t="array" ref="G2565">IF(ISBLANK(D2565), "", INDEX(Categories!$B:$B,MATCH(D2565,Categories!$A:$A,0)))</f>
        <v>Tax Consultants</v>
      </c>
      <c r="H2565" s="7" t="str">
        <f t="array" ref="H2565">IF(ISBLANK(E2565), "", INDEX(Categories!$B:$B,MATCH(E2565,Categories!$A:$A,0)))</f>
        <v/>
      </c>
      <c r="I2565" s="7" t="str">
        <f t="array" ref="I2565">IF(ISBLANK(F2565), "", INDEX(Categories!$B:$B,MATCH(F2565,Categories!$A:$A,0)))</f>
        <v/>
      </c>
      <c r="J2565" s="4"/>
      <c r="K2565" s="4"/>
      <c r="L2565" s="4"/>
      <c r="M2565" s="4"/>
      <c r="N2565" s="4"/>
      <c r="O2565" s="4"/>
      <c r="P2565" s="4"/>
      <c r="Q2565" s="4"/>
    </row>
    <row r="2566">
      <c r="A2566" s="5">
        <v>2565.0</v>
      </c>
      <c r="B2566" s="5" t="s">
        <v>3091</v>
      </c>
      <c r="C2566" s="5" t="s">
        <v>139</v>
      </c>
      <c r="D2566" s="6">
        <f>IFERROR(__xludf.DUMMYFUNCTION("SPLIT(MID(C2566,2,LEN(C2566)-2), "","")"),1617.0)</f>
        <v>1617</v>
      </c>
      <c r="E2566" s="7"/>
      <c r="F2566" s="7"/>
      <c r="G2566" s="2" t="str">
        <f t="array" ref="G2566">IF(ISBLANK(D2566), "", INDEX(Categories!$B:$B,MATCH(D2566,Categories!$A:$A,0)))</f>
        <v>Department Stores</v>
      </c>
      <c r="H2566" s="7" t="str">
        <f t="array" ref="H2566">IF(ISBLANK(E2566), "", INDEX(Categories!$B:$B,MATCH(E2566,Categories!$A:$A,0)))</f>
        <v/>
      </c>
      <c r="I2566" s="7" t="str">
        <f t="array" ref="I2566">IF(ISBLANK(F2566), "", INDEX(Categories!$B:$B,MATCH(F2566,Categories!$A:$A,0)))</f>
        <v/>
      </c>
      <c r="J2566" s="4"/>
      <c r="K2566" s="4"/>
      <c r="L2566" s="4"/>
      <c r="M2566" s="4"/>
      <c r="N2566" s="4"/>
      <c r="O2566" s="4"/>
      <c r="P2566" s="4"/>
      <c r="Q2566" s="4"/>
    </row>
    <row r="2567">
      <c r="A2567" s="5">
        <v>2566.0</v>
      </c>
      <c r="B2567" s="5" t="s">
        <v>3092</v>
      </c>
      <c r="C2567" s="5" t="s">
        <v>760</v>
      </c>
      <c r="D2567" s="6">
        <f>IFERROR(__xludf.DUMMYFUNCTION("SPLIT(MID(C2567,2,LEN(C2567)-2), "","")"),1246.0)</f>
        <v>1246</v>
      </c>
      <c r="E2567" s="7"/>
      <c r="F2567" s="7"/>
      <c r="G2567" s="2" t="str">
        <f t="array" ref="G2567">IF(ISBLANK(D2567), "", INDEX(Categories!$B:$B,MATCH(D2567,Categories!$A:$A,0)))</f>
        <v>Clothing</v>
      </c>
      <c r="H2567" s="7" t="str">
        <f t="array" ref="H2567">IF(ISBLANK(E2567), "", INDEX(Categories!$B:$B,MATCH(E2567,Categories!$A:$A,0)))</f>
        <v/>
      </c>
      <c r="I2567" s="7" t="str">
        <f t="array" ref="I2567">IF(ISBLANK(F2567), "", INDEX(Categories!$B:$B,MATCH(F2567,Categories!$A:$A,0)))</f>
        <v/>
      </c>
      <c r="J2567" s="4"/>
      <c r="K2567" s="4"/>
      <c r="L2567" s="4"/>
      <c r="M2567" s="4"/>
      <c r="N2567" s="4"/>
      <c r="O2567" s="4"/>
      <c r="P2567" s="4"/>
      <c r="Q2567" s="4"/>
    </row>
    <row r="2568">
      <c r="A2568" s="5">
        <v>2567.0</v>
      </c>
      <c r="B2568" s="5" t="s">
        <v>3093</v>
      </c>
      <c r="C2568" s="5" t="s">
        <v>497</v>
      </c>
      <c r="D2568" s="6">
        <f>IFERROR(__xludf.DUMMYFUNCTION("SPLIT(MID(C2568,2,LEN(C2568)-2), "","")"),2348.0)</f>
        <v>2348</v>
      </c>
      <c r="E2568" s="7"/>
      <c r="F2568" s="7"/>
      <c r="G2568" s="2" t="str">
        <f t="array" ref="G2568">IF(ISBLANK(D2568), "", INDEX(Categories!$B:$B,MATCH(D2568,Categories!$A:$A,0)))</f>
        <v>Real Estate - Development</v>
      </c>
      <c r="H2568" s="7" t="str">
        <f t="array" ref="H2568">IF(ISBLANK(E2568), "", INDEX(Categories!$B:$B,MATCH(E2568,Categories!$A:$A,0)))</f>
        <v/>
      </c>
      <c r="I2568" s="7" t="str">
        <f t="array" ref="I2568">IF(ISBLANK(F2568), "", INDEX(Categories!$B:$B,MATCH(F2568,Categories!$A:$A,0)))</f>
        <v/>
      </c>
      <c r="J2568" s="4"/>
      <c r="K2568" s="4"/>
      <c r="L2568" s="4"/>
      <c r="M2568" s="4"/>
      <c r="N2568" s="4"/>
      <c r="O2568" s="4"/>
      <c r="P2568" s="4"/>
      <c r="Q2568" s="4"/>
    </row>
    <row r="2569">
      <c r="A2569" s="5">
        <v>2568.0</v>
      </c>
      <c r="B2569" s="5" t="s">
        <v>3094</v>
      </c>
      <c r="C2569" s="5" t="s">
        <v>10</v>
      </c>
      <c r="D2569" s="6">
        <f>IFERROR(__xludf.DUMMYFUNCTION("SPLIT(MID(C2569,2,LEN(C2569)-2), "","")"),1168.0)</f>
        <v>1168</v>
      </c>
      <c r="E2569" s="7"/>
      <c r="F2569" s="7"/>
      <c r="G2569" s="2" t="str">
        <f t="array" ref="G2569">IF(ISBLANK(D2569), "", INDEX(Categories!$B:$B,MATCH(D2569,Categories!$A:$A,0)))</f>
        <v>Convenience Stores</v>
      </c>
      <c r="H2569" s="7" t="str">
        <f t="array" ref="H2569">IF(ISBLANK(E2569), "", INDEX(Categories!$B:$B,MATCH(E2569,Categories!$A:$A,0)))</f>
        <v/>
      </c>
      <c r="I2569" s="7" t="str">
        <f t="array" ref="I2569">IF(ISBLANK(F2569), "", INDEX(Categories!$B:$B,MATCH(F2569,Categories!$A:$A,0)))</f>
        <v/>
      </c>
      <c r="J2569" s="4"/>
      <c r="K2569" s="4"/>
      <c r="L2569" s="4"/>
      <c r="M2569" s="4"/>
      <c r="N2569" s="4"/>
      <c r="O2569" s="4"/>
      <c r="P2569" s="4"/>
      <c r="Q2569" s="4"/>
    </row>
    <row r="2570">
      <c r="A2570" s="5">
        <v>2569.0</v>
      </c>
      <c r="B2570" s="5" t="s">
        <v>3095</v>
      </c>
      <c r="C2570" s="5" t="s">
        <v>1278</v>
      </c>
      <c r="D2570" s="6">
        <f>IFERROR(__xludf.DUMMYFUNCTION("SPLIT(MID(C2570,2,LEN(C2570)-2), "","")"),1448.0)</f>
        <v>1448</v>
      </c>
      <c r="E2570" s="7"/>
      <c r="F2570" s="7"/>
      <c r="G2570" s="2" t="str">
        <f t="array" ref="G2570">IF(ISBLANK(D2570), "", INDEX(Categories!$B:$B,MATCH(D2570,Categories!$A:$A,0)))</f>
        <v>Uniforms</v>
      </c>
      <c r="H2570" s="7" t="str">
        <f t="array" ref="H2570">IF(ISBLANK(E2570), "", INDEX(Categories!$B:$B,MATCH(E2570,Categories!$A:$A,0)))</f>
        <v/>
      </c>
      <c r="I2570" s="7" t="str">
        <f t="array" ref="I2570">IF(ISBLANK(F2570), "", INDEX(Categories!$B:$B,MATCH(F2570,Categories!$A:$A,0)))</f>
        <v/>
      </c>
      <c r="J2570" s="4"/>
      <c r="K2570" s="4"/>
      <c r="L2570" s="4"/>
      <c r="M2570" s="4"/>
      <c r="N2570" s="4"/>
      <c r="O2570" s="4"/>
      <c r="P2570" s="4"/>
      <c r="Q2570" s="4"/>
    </row>
    <row r="2571">
      <c r="A2571" s="5">
        <v>2570.0</v>
      </c>
      <c r="B2571" s="5" t="s">
        <v>3096</v>
      </c>
      <c r="C2571" s="5" t="s">
        <v>950</v>
      </c>
      <c r="D2571" s="6">
        <f>IFERROR(__xludf.DUMMYFUNCTION("SPLIT(MID(C2571,2,LEN(C2571)-2), "","")"),2093.0)</f>
        <v>2093</v>
      </c>
      <c r="E2571" s="7"/>
      <c r="F2571" s="7"/>
      <c r="G2571" s="2" t="str">
        <f t="array" ref="G2571">IF(ISBLANK(D2571), "", INDEX(Categories!$B:$B,MATCH(D2571,Categories!$A:$A,0)))</f>
        <v>Mattresses &amp; Bedding Retail</v>
      </c>
      <c r="H2571" s="7" t="str">
        <f t="array" ref="H2571">IF(ISBLANK(E2571), "", INDEX(Categories!$B:$B,MATCH(E2571,Categories!$A:$A,0)))</f>
        <v/>
      </c>
      <c r="I2571" s="7" t="str">
        <f t="array" ref="I2571">IF(ISBLANK(F2571), "", INDEX(Categories!$B:$B,MATCH(F2571,Categories!$A:$A,0)))</f>
        <v/>
      </c>
      <c r="J2571" s="4"/>
      <c r="K2571" s="4"/>
      <c r="L2571" s="4"/>
      <c r="M2571" s="4"/>
      <c r="N2571" s="4"/>
      <c r="O2571" s="4"/>
      <c r="P2571" s="4"/>
      <c r="Q2571" s="4"/>
    </row>
    <row r="2572">
      <c r="A2572" s="5">
        <v>2571.0</v>
      </c>
      <c r="B2572" s="5" t="s">
        <v>3097</v>
      </c>
      <c r="C2572" s="5" t="s">
        <v>307</v>
      </c>
      <c r="D2572" s="6">
        <f>IFERROR(__xludf.DUMMYFUNCTION("SPLIT(MID(C2572,2,LEN(C2572)-2), "","")"),241.0)</f>
        <v>241</v>
      </c>
      <c r="E2572" s="7"/>
      <c r="F2572" s="7"/>
      <c r="G2572" s="2" t="str">
        <f t="array" ref="G2572">IF(ISBLANK(D2572), "", INDEX(Categories!$B:$B,MATCH(D2572,Categories!$A:$A,0)))</f>
        <v>Restaurants Mexican</v>
      </c>
      <c r="H2572" s="7" t="str">
        <f t="array" ref="H2572">IF(ISBLANK(E2572), "", INDEX(Categories!$B:$B,MATCH(E2572,Categories!$A:$A,0)))</f>
        <v/>
      </c>
      <c r="I2572" s="7" t="str">
        <f t="array" ref="I2572">IF(ISBLANK(F2572), "", INDEX(Categories!$B:$B,MATCH(F2572,Categories!$A:$A,0)))</f>
        <v/>
      </c>
      <c r="J2572" s="4"/>
      <c r="K2572" s="4"/>
      <c r="L2572" s="4"/>
      <c r="M2572" s="4"/>
      <c r="N2572" s="4"/>
      <c r="O2572" s="4"/>
      <c r="P2572" s="4"/>
      <c r="Q2572" s="4"/>
    </row>
    <row r="2573">
      <c r="A2573" s="5">
        <v>2572.0</v>
      </c>
      <c r="B2573" s="5" t="s">
        <v>3098</v>
      </c>
      <c r="C2573" s="5" t="s">
        <v>18</v>
      </c>
      <c r="D2573" s="6">
        <f>IFERROR(__xludf.DUMMYFUNCTION("SPLIT(MID(C2573,2,LEN(C2573)-2), "","")"),121.0)</f>
        <v>121</v>
      </c>
      <c r="E2573" s="7"/>
      <c r="F2573" s="7"/>
      <c r="G2573" s="2" t="str">
        <f t="array" ref="G2573">IF(ISBLANK(D2573), "", INDEX(Categories!$B:$B,MATCH(D2573,Categories!$A:$A,0)))</f>
        <v>Insurance</v>
      </c>
      <c r="H2573" s="7" t="str">
        <f t="array" ref="H2573">IF(ISBLANK(E2573), "", INDEX(Categories!$B:$B,MATCH(E2573,Categories!$A:$A,0)))</f>
        <v/>
      </c>
      <c r="I2573" s="7" t="str">
        <f t="array" ref="I2573">IF(ISBLANK(F2573), "", INDEX(Categories!$B:$B,MATCH(F2573,Categories!$A:$A,0)))</f>
        <v/>
      </c>
      <c r="J2573" s="4"/>
      <c r="K2573" s="4"/>
      <c r="L2573" s="4"/>
      <c r="M2573" s="4"/>
      <c r="N2573" s="4"/>
      <c r="O2573" s="4"/>
      <c r="P2573" s="4"/>
      <c r="Q2573" s="4"/>
    </row>
    <row r="2574">
      <c r="A2574" s="5">
        <v>2573.0</v>
      </c>
      <c r="B2574" s="5" t="s">
        <v>3099</v>
      </c>
      <c r="C2574" s="5" t="s">
        <v>1530</v>
      </c>
      <c r="D2574" s="6">
        <f>IFERROR(__xludf.DUMMYFUNCTION("SPLIT(MID(C2574,2,LEN(C2574)-2), "","")"),239.0)</f>
        <v>239</v>
      </c>
      <c r="E2574" s="7"/>
      <c r="F2574" s="7"/>
      <c r="G2574" s="2" t="str">
        <f t="array" ref="G2574">IF(ISBLANK(D2574), "", INDEX(Categories!$B:$B,MATCH(D2574,Categories!$A:$A,0)))</f>
        <v>Restaurants Dining</v>
      </c>
      <c r="H2574" s="7" t="str">
        <f t="array" ref="H2574">IF(ISBLANK(E2574), "", INDEX(Categories!$B:$B,MATCH(E2574,Categories!$A:$A,0)))</f>
        <v/>
      </c>
      <c r="I2574" s="7" t="str">
        <f t="array" ref="I2574">IF(ISBLANK(F2574), "", INDEX(Categories!$B:$B,MATCH(F2574,Categories!$A:$A,0)))</f>
        <v/>
      </c>
      <c r="J2574" s="4"/>
      <c r="K2574" s="4"/>
      <c r="L2574" s="4"/>
      <c r="M2574" s="4"/>
      <c r="N2574" s="4"/>
      <c r="O2574" s="4"/>
      <c r="P2574" s="4"/>
      <c r="Q2574" s="4"/>
    </row>
    <row r="2575">
      <c r="A2575" s="5">
        <v>2574.0</v>
      </c>
      <c r="B2575" s="5" t="s">
        <v>3100</v>
      </c>
      <c r="C2575" s="5" t="s">
        <v>504</v>
      </c>
      <c r="D2575" s="6">
        <f>IFERROR(__xludf.DUMMYFUNCTION("SPLIT(MID(C2575,2,LEN(C2575)-2), "","")"),17.0)</f>
        <v>17</v>
      </c>
      <c r="E2575" s="7"/>
      <c r="F2575" s="7"/>
      <c r="G2575" s="2" t="str">
        <f t="array" ref="G2575">IF(ISBLANK(D2575), "", INDEX(Categories!$B:$B,MATCH(D2575,Categories!$A:$A,0)))</f>
        <v>Title Companies &amp; Agents</v>
      </c>
      <c r="H2575" s="7" t="str">
        <f t="array" ref="H2575">IF(ISBLANK(E2575), "", INDEX(Categories!$B:$B,MATCH(E2575,Categories!$A:$A,0)))</f>
        <v/>
      </c>
      <c r="I2575" s="7" t="str">
        <f t="array" ref="I2575">IF(ISBLANK(F2575), "", INDEX(Categories!$B:$B,MATCH(F2575,Categories!$A:$A,0)))</f>
        <v/>
      </c>
      <c r="J2575" s="4"/>
      <c r="K2575" s="4"/>
      <c r="L2575" s="4"/>
      <c r="M2575" s="4"/>
      <c r="N2575" s="4"/>
      <c r="O2575" s="4"/>
      <c r="P2575" s="4"/>
      <c r="Q2575" s="4"/>
    </row>
    <row r="2576">
      <c r="A2576" s="5">
        <v>2575.0</v>
      </c>
      <c r="B2576" s="5" t="s">
        <v>3101</v>
      </c>
      <c r="C2576" s="5" t="s">
        <v>1530</v>
      </c>
      <c r="D2576" s="6">
        <f>IFERROR(__xludf.DUMMYFUNCTION("SPLIT(MID(C2576,2,LEN(C2576)-2), "","")"),239.0)</f>
        <v>239</v>
      </c>
      <c r="E2576" s="7"/>
      <c r="F2576" s="7"/>
      <c r="G2576" s="2" t="str">
        <f t="array" ref="G2576">IF(ISBLANK(D2576), "", INDEX(Categories!$B:$B,MATCH(D2576,Categories!$A:$A,0)))</f>
        <v>Restaurants Dining</v>
      </c>
      <c r="H2576" s="7" t="str">
        <f t="array" ref="H2576">IF(ISBLANK(E2576), "", INDEX(Categories!$B:$B,MATCH(E2576,Categories!$A:$A,0)))</f>
        <v/>
      </c>
      <c r="I2576" s="7" t="str">
        <f t="array" ref="I2576">IF(ISBLANK(F2576), "", INDEX(Categories!$B:$B,MATCH(F2576,Categories!$A:$A,0)))</f>
        <v/>
      </c>
      <c r="J2576" s="4"/>
      <c r="K2576" s="4"/>
      <c r="L2576" s="4"/>
      <c r="M2576" s="4"/>
      <c r="N2576" s="4"/>
      <c r="O2576" s="4"/>
      <c r="P2576" s="4"/>
      <c r="Q2576" s="4"/>
    </row>
    <row r="2577">
      <c r="A2577" s="5">
        <v>2576.0</v>
      </c>
      <c r="B2577" s="5" t="s">
        <v>3102</v>
      </c>
      <c r="C2577" s="5" t="s">
        <v>34</v>
      </c>
      <c r="D2577" s="6">
        <f>IFERROR(__xludf.DUMMYFUNCTION("SPLIT(MID(C2577,2,LEN(C2577)-2), "","")"),228.0)</f>
        <v>228</v>
      </c>
      <c r="E2577" s="7"/>
      <c r="F2577" s="7"/>
      <c r="G2577" s="2" t="str">
        <f t="array" ref="G2577">IF(ISBLANK(D2577), "", INDEX(Categories!$B:$B,MATCH(D2577,Categories!$A:$A,0)))</f>
        <v>Restaurants</v>
      </c>
      <c r="H2577" s="7" t="str">
        <f t="array" ref="H2577">IF(ISBLANK(E2577), "", INDEX(Categories!$B:$B,MATCH(E2577,Categories!$A:$A,0)))</f>
        <v/>
      </c>
      <c r="I2577" s="7" t="str">
        <f t="array" ref="I2577">IF(ISBLANK(F2577), "", INDEX(Categories!$B:$B,MATCH(F2577,Categories!$A:$A,0)))</f>
        <v/>
      </c>
      <c r="J2577" s="4"/>
      <c r="K2577" s="4"/>
      <c r="L2577" s="4"/>
      <c r="M2577" s="4"/>
      <c r="N2577" s="4"/>
      <c r="O2577" s="4"/>
      <c r="P2577" s="4"/>
      <c r="Q2577" s="4"/>
    </row>
    <row r="2578">
      <c r="A2578" s="5">
        <v>2577.0</v>
      </c>
      <c r="B2578" s="5" t="s">
        <v>3103</v>
      </c>
      <c r="C2578" s="5" t="s">
        <v>18</v>
      </c>
      <c r="D2578" s="6">
        <f>IFERROR(__xludf.DUMMYFUNCTION("SPLIT(MID(C2578,2,LEN(C2578)-2), "","")"),121.0)</f>
        <v>121</v>
      </c>
      <c r="E2578" s="7"/>
      <c r="F2578" s="7"/>
      <c r="G2578" s="2" t="str">
        <f t="array" ref="G2578">IF(ISBLANK(D2578), "", INDEX(Categories!$B:$B,MATCH(D2578,Categories!$A:$A,0)))</f>
        <v>Insurance</v>
      </c>
      <c r="H2578" s="7" t="str">
        <f t="array" ref="H2578">IF(ISBLANK(E2578), "", INDEX(Categories!$B:$B,MATCH(E2578,Categories!$A:$A,0)))</f>
        <v/>
      </c>
      <c r="I2578" s="7" t="str">
        <f t="array" ref="I2578">IF(ISBLANK(F2578), "", INDEX(Categories!$B:$B,MATCH(F2578,Categories!$A:$A,0)))</f>
        <v/>
      </c>
      <c r="J2578" s="4"/>
      <c r="K2578" s="4"/>
      <c r="L2578" s="4"/>
      <c r="M2578" s="4"/>
      <c r="N2578" s="4"/>
      <c r="O2578" s="4"/>
      <c r="P2578" s="4"/>
      <c r="Q2578" s="4"/>
    </row>
    <row r="2579">
      <c r="A2579" s="5">
        <v>2578.0</v>
      </c>
      <c r="B2579" s="5" t="s">
        <v>3104</v>
      </c>
      <c r="C2579" s="5" t="s">
        <v>102</v>
      </c>
      <c r="D2579" s="6">
        <f>IFERROR(__xludf.DUMMYFUNCTION("SPLIT(MID(C2579,2,LEN(C2579)-2), "","")"),298.0)</f>
        <v>298</v>
      </c>
      <c r="E2579" s="7"/>
      <c r="F2579" s="7"/>
      <c r="G2579" s="2" t="str">
        <f t="array" ref="G2579">IF(ISBLANK(D2579), "", INDEX(Categories!$B:$B,MATCH(D2579,Categories!$A:$A,0)))</f>
        <v>Financial Services</v>
      </c>
      <c r="H2579" s="7" t="str">
        <f t="array" ref="H2579">IF(ISBLANK(E2579), "", INDEX(Categories!$B:$B,MATCH(E2579,Categories!$A:$A,0)))</f>
        <v/>
      </c>
      <c r="I2579" s="7" t="str">
        <f t="array" ref="I2579">IF(ISBLANK(F2579), "", INDEX(Categories!$B:$B,MATCH(F2579,Categories!$A:$A,0)))</f>
        <v/>
      </c>
      <c r="J2579" s="4"/>
      <c r="K2579" s="4"/>
      <c r="L2579" s="4"/>
      <c r="M2579" s="4"/>
      <c r="N2579" s="4"/>
      <c r="O2579" s="4"/>
      <c r="P2579" s="4"/>
      <c r="Q2579" s="4"/>
    </row>
    <row r="2580">
      <c r="A2580" s="5">
        <v>2579.0</v>
      </c>
      <c r="B2580" s="5" t="s">
        <v>3105</v>
      </c>
      <c r="C2580" s="5" t="s">
        <v>950</v>
      </c>
      <c r="D2580" s="6">
        <f>IFERROR(__xludf.DUMMYFUNCTION("SPLIT(MID(C2580,2,LEN(C2580)-2), "","")"),2093.0)</f>
        <v>2093</v>
      </c>
      <c r="E2580" s="7"/>
      <c r="F2580" s="7"/>
      <c r="G2580" s="2" t="str">
        <f t="array" ref="G2580">IF(ISBLANK(D2580), "", INDEX(Categories!$B:$B,MATCH(D2580,Categories!$A:$A,0)))</f>
        <v>Mattresses &amp; Bedding Retail</v>
      </c>
      <c r="H2580" s="7" t="str">
        <f t="array" ref="H2580">IF(ISBLANK(E2580), "", INDEX(Categories!$B:$B,MATCH(E2580,Categories!$A:$A,0)))</f>
        <v/>
      </c>
      <c r="I2580" s="7" t="str">
        <f t="array" ref="I2580">IF(ISBLANK(F2580), "", INDEX(Categories!$B:$B,MATCH(F2580,Categories!$A:$A,0)))</f>
        <v/>
      </c>
      <c r="J2580" s="4"/>
      <c r="K2580" s="4"/>
      <c r="L2580" s="4"/>
      <c r="M2580" s="4"/>
      <c r="N2580" s="4"/>
      <c r="O2580" s="4"/>
      <c r="P2580" s="4"/>
      <c r="Q2580" s="4"/>
    </row>
    <row r="2581">
      <c r="A2581" s="5">
        <v>2580.0</v>
      </c>
      <c r="B2581" s="5" t="s">
        <v>3106</v>
      </c>
      <c r="C2581" s="5" t="s">
        <v>837</v>
      </c>
      <c r="D2581" s="6">
        <f>IFERROR(__xludf.DUMMYFUNCTION("SPLIT(MID(C2581,2,LEN(C2581)-2), "","")"),2768.0)</f>
        <v>2768</v>
      </c>
      <c r="E2581" s="7"/>
      <c r="F2581" s="7"/>
      <c r="G2581" s="2" t="str">
        <f t="array" ref="G2581">IF(ISBLANK(D2581), "", INDEX(Categories!$B:$B,MATCH(D2581,Categories!$A:$A,0)))</f>
        <v>Building Materials &amp; Supplies</v>
      </c>
      <c r="H2581" s="7" t="str">
        <f t="array" ref="H2581">IF(ISBLANK(E2581), "", INDEX(Categories!$B:$B,MATCH(E2581,Categories!$A:$A,0)))</f>
        <v/>
      </c>
      <c r="I2581" s="7" t="str">
        <f t="array" ref="I2581">IF(ISBLANK(F2581), "", INDEX(Categories!$B:$B,MATCH(F2581,Categories!$A:$A,0)))</f>
        <v/>
      </c>
      <c r="J2581" s="4"/>
      <c r="K2581" s="4"/>
      <c r="L2581" s="4"/>
      <c r="M2581" s="4"/>
      <c r="N2581" s="4"/>
      <c r="O2581" s="4"/>
      <c r="P2581" s="4"/>
      <c r="Q2581" s="4"/>
    </row>
    <row r="2582">
      <c r="A2582" s="5">
        <v>2581.0</v>
      </c>
      <c r="B2582" s="5" t="s">
        <v>3107</v>
      </c>
      <c r="C2582" s="5" t="s">
        <v>109</v>
      </c>
      <c r="D2582" s="6">
        <f>IFERROR(__xludf.DUMMYFUNCTION("SPLIT(MID(C2582,2,LEN(C2582)-2), "","")"),741.0)</f>
        <v>741</v>
      </c>
      <c r="E2582" s="7"/>
      <c r="F2582" s="7"/>
      <c r="G2582" s="2" t="str">
        <f t="array" ref="G2582">IF(ISBLANK(D2582), "", INDEX(Categories!$B:$B,MATCH(D2582,Categories!$A:$A,0)))</f>
        <v>Shoes</v>
      </c>
      <c r="H2582" s="7" t="str">
        <f t="array" ref="H2582">IF(ISBLANK(E2582), "", INDEX(Categories!$B:$B,MATCH(E2582,Categories!$A:$A,0)))</f>
        <v/>
      </c>
      <c r="I2582" s="7" t="str">
        <f t="array" ref="I2582">IF(ISBLANK(F2582), "", INDEX(Categories!$B:$B,MATCH(F2582,Categories!$A:$A,0)))</f>
        <v/>
      </c>
      <c r="J2582" s="4"/>
      <c r="K2582" s="4"/>
      <c r="L2582" s="4"/>
      <c r="M2582" s="4"/>
      <c r="N2582" s="4"/>
      <c r="O2582" s="4"/>
      <c r="P2582" s="4"/>
      <c r="Q2582" s="4"/>
    </row>
    <row r="2583">
      <c r="A2583" s="5">
        <v>2582.0</v>
      </c>
      <c r="B2583" s="5" t="s">
        <v>3108</v>
      </c>
      <c r="C2583" s="5" t="s">
        <v>99</v>
      </c>
      <c r="D2583" s="6">
        <f>IFERROR(__xludf.DUMMYFUNCTION("SPLIT(MID(C2583,2,LEN(C2583)-2), "","")"),2331.0)</f>
        <v>2331</v>
      </c>
      <c r="E2583" s="7"/>
      <c r="F2583" s="7"/>
      <c r="G2583" s="2" t="str">
        <f t="array" ref="G2583">IF(ISBLANK(D2583), "", INDEX(Categories!$B:$B,MATCH(D2583,Categories!$A:$A,0)))</f>
        <v>Donuts</v>
      </c>
      <c r="H2583" s="7" t="str">
        <f t="array" ref="H2583">IF(ISBLANK(E2583), "", INDEX(Categories!$B:$B,MATCH(E2583,Categories!$A:$A,0)))</f>
        <v/>
      </c>
      <c r="I2583" s="7" t="str">
        <f t="array" ref="I2583">IF(ISBLANK(F2583), "", INDEX(Categories!$B:$B,MATCH(F2583,Categories!$A:$A,0)))</f>
        <v/>
      </c>
      <c r="J2583" s="4"/>
      <c r="K2583" s="4"/>
      <c r="L2583" s="4"/>
      <c r="M2583" s="4"/>
      <c r="N2583" s="4"/>
      <c r="O2583" s="4"/>
      <c r="P2583" s="4"/>
      <c r="Q2583" s="4"/>
    </row>
    <row r="2584">
      <c r="A2584" s="5">
        <v>2583.0</v>
      </c>
      <c r="B2584" s="5" t="s">
        <v>3109</v>
      </c>
      <c r="C2584" s="5" t="s">
        <v>303</v>
      </c>
      <c r="D2584" s="6">
        <f>IFERROR(__xludf.DUMMYFUNCTION("SPLIT(MID(C2584,2,LEN(C2584)-2), "","")"),1241.0)</f>
        <v>1241</v>
      </c>
      <c r="E2584" s="7"/>
      <c r="F2584" s="7"/>
      <c r="G2584" s="2" t="str">
        <f t="array" ref="G2584">IF(ISBLANK(D2584), "", INDEX(Categories!$B:$B,MATCH(D2584,Categories!$A:$A,0)))</f>
        <v>Clothing &amp; Accessories</v>
      </c>
      <c r="H2584" s="7" t="str">
        <f t="array" ref="H2584">IF(ISBLANK(E2584), "", INDEX(Categories!$B:$B,MATCH(E2584,Categories!$A:$A,0)))</f>
        <v/>
      </c>
      <c r="I2584" s="7" t="str">
        <f t="array" ref="I2584">IF(ISBLANK(F2584), "", INDEX(Categories!$B:$B,MATCH(F2584,Categories!$A:$A,0)))</f>
        <v/>
      </c>
      <c r="J2584" s="4"/>
      <c r="K2584" s="4"/>
      <c r="L2584" s="4"/>
      <c r="M2584" s="4"/>
      <c r="N2584" s="4"/>
      <c r="O2584" s="4"/>
      <c r="P2584" s="4"/>
      <c r="Q2584" s="4"/>
    </row>
    <row r="2585">
      <c r="A2585" s="5">
        <v>2584.0</v>
      </c>
      <c r="B2585" s="5" t="s">
        <v>3110</v>
      </c>
      <c r="C2585" s="5" t="s">
        <v>2516</v>
      </c>
      <c r="D2585" s="6">
        <f>IFERROR(__xludf.DUMMYFUNCTION("SPLIT(MID(C2585,2,LEN(C2585)-2), "","")"),1116.0)</f>
        <v>1116</v>
      </c>
      <c r="E2585" s="7"/>
      <c r="F2585" s="7"/>
      <c r="G2585" s="2" t="str">
        <f t="array" ref="G2585">IF(ISBLANK(D2585), "", INDEX(Categories!$B:$B,MATCH(D2585,Categories!$A:$A,0)))</f>
        <v>Liquor Stores</v>
      </c>
      <c r="H2585" s="7" t="str">
        <f t="array" ref="H2585">IF(ISBLANK(E2585), "", INDEX(Categories!$B:$B,MATCH(E2585,Categories!$A:$A,0)))</f>
        <v/>
      </c>
      <c r="I2585" s="7" t="str">
        <f t="array" ref="I2585">IF(ISBLANK(F2585), "", INDEX(Categories!$B:$B,MATCH(F2585,Categories!$A:$A,0)))</f>
        <v/>
      </c>
      <c r="J2585" s="4"/>
      <c r="K2585" s="4"/>
      <c r="L2585" s="4"/>
      <c r="M2585" s="4"/>
      <c r="N2585" s="4"/>
      <c r="O2585" s="4"/>
      <c r="P2585" s="4"/>
      <c r="Q2585" s="4"/>
    </row>
    <row r="2586">
      <c r="A2586" s="5">
        <v>2585.0</v>
      </c>
      <c r="B2586" s="5" t="s">
        <v>3111</v>
      </c>
      <c r="C2586" s="5" t="s">
        <v>2516</v>
      </c>
      <c r="D2586" s="6">
        <f>IFERROR(__xludf.DUMMYFUNCTION("SPLIT(MID(C2586,2,LEN(C2586)-2), "","")"),1116.0)</f>
        <v>1116</v>
      </c>
      <c r="E2586" s="7"/>
      <c r="F2586" s="7"/>
      <c r="G2586" s="2" t="str">
        <f t="array" ref="G2586">IF(ISBLANK(D2586), "", INDEX(Categories!$B:$B,MATCH(D2586,Categories!$A:$A,0)))</f>
        <v>Liquor Stores</v>
      </c>
      <c r="H2586" s="7" t="str">
        <f t="array" ref="H2586">IF(ISBLANK(E2586), "", INDEX(Categories!$B:$B,MATCH(E2586,Categories!$A:$A,0)))</f>
        <v/>
      </c>
      <c r="I2586" s="7" t="str">
        <f t="array" ref="I2586">IF(ISBLANK(F2586), "", INDEX(Categories!$B:$B,MATCH(F2586,Categories!$A:$A,0)))</f>
        <v/>
      </c>
      <c r="J2586" s="4"/>
      <c r="K2586" s="4"/>
      <c r="L2586" s="4"/>
      <c r="M2586" s="4"/>
      <c r="N2586" s="4"/>
      <c r="O2586" s="4"/>
      <c r="P2586" s="4"/>
      <c r="Q2586" s="4"/>
    </row>
    <row r="2587">
      <c r="A2587" s="5">
        <v>2586.0</v>
      </c>
      <c r="B2587" s="5" t="s">
        <v>3112</v>
      </c>
      <c r="C2587" s="5" t="s">
        <v>2516</v>
      </c>
      <c r="D2587" s="6">
        <f>IFERROR(__xludf.DUMMYFUNCTION("SPLIT(MID(C2587,2,LEN(C2587)-2), "","")"),1116.0)</f>
        <v>1116</v>
      </c>
      <c r="E2587" s="7"/>
      <c r="F2587" s="7"/>
      <c r="G2587" s="2" t="str">
        <f t="array" ref="G2587">IF(ISBLANK(D2587), "", INDEX(Categories!$B:$B,MATCH(D2587,Categories!$A:$A,0)))</f>
        <v>Liquor Stores</v>
      </c>
      <c r="H2587" s="7" t="str">
        <f t="array" ref="H2587">IF(ISBLANK(E2587), "", INDEX(Categories!$B:$B,MATCH(E2587,Categories!$A:$A,0)))</f>
        <v/>
      </c>
      <c r="I2587" s="7" t="str">
        <f t="array" ref="I2587">IF(ISBLANK(F2587), "", INDEX(Categories!$B:$B,MATCH(F2587,Categories!$A:$A,0)))</f>
        <v/>
      </c>
      <c r="J2587" s="4"/>
      <c r="K2587" s="4"/>
      <c r="L2587" s="4"/>
      <c r="M2587" s="4"/>
      <c r="N2587" s="4"/>
      <c r="O2587" s="4"/>
      <c r="P2587" s="4"/>
      <c r="Q2587" s="4"/>
    </row>
    <row r="2588">
      <c r="A2588" s="5">
        <v>2587.0</v>
      </c>
      <c r="B2588" s="5" t="s">
        <v>3113</v>
      </c>
      <c r="C2588" s="5" t="s">
        <v>2516</v>
      </c>
      <c r="D2588" s="6">
        <f>IFERROR(__xludf.DUMMYFUNCTION("SPLIT(MID(C2588,2,LEN(C2588)-2), "","")"),1116.0)</f>
        <v>1116</v>
      </c>
      <c r="E2588" s="7"/>
      <c r="F2588" s="7"/>
      <c r="G2588" s="2" t="str">
        <f t="array" ref="G2588">IF(ISBLANK(D2588), "", INDEX(Categories!$B:$B,MATCH(D2588,Categories!$A:$A,0)))</f>
        <v>Liquor Stores</v>
      </c>
      <c r="H2588" s="7" t="str">
        <f t="array" ref="H2588">IF(ISBLANK(E2588), "", INDEX(Categories!$B:$B,MATCH(E2588,Categories!$A:$A,0)))</f>
        <v/>
      </c>
      <c r="I2588" s="7" t="str">
        <f t="array" ref="I2588">IF(ISBLANK(F2588), "", INDEX(Categories!$B:$B,MATCH(F2588,Categories!$A:$A,0)))</f>
        <v/>
      </c>
      <c r="J2588" s="4"/>
      <c r="K2588" s="4"/>
      <c r="L2588" s="4"/>
      <c r="M2588" s="4"/>
      <c r="N2588" s="4"/>
      <c r="O2588" s="4"/>
      <c r="P2588" s="4"/>
      <c r="Q2588" s="4"/>
    </row>
    <row r="2589">
      <c r="A2589" s="5">
        <v>2588.0</v>
      </c>
      <c r="B2589" s="5" t="s">
        <v>3114</v>
      </c>
      <c r="C2589" s="5" t="s">
        <v>145</v>
      </c>
      <c r="D2589" s="6">
        <f>IFERROR(__xludf.DUMMYFUNCTION("SPLIT(MID(C2589,2,LEN(C2589)-2), "","")"),476.0)</f>
        <v>476</v>
      </c>
      <c r="E2589" s="7"/>
      <c r="F2589" s="7"/>
      <c r="G2589" s="2" t="str">
        <f t="array" ref="G2589">IF(ISBLANK(D2589), "", INDEX(Categories!$B:$B,MATCH(D2589,Categories!$A:$A,0)))</f>
        <v>Automobile Oil &amp; Lubrication Services</v>
      </c>
      <c r="H2589" s="7" t="str">
        <f t="array" ref="H2589">IF(ISBLANK(E2589), "", INDEX(Categories!$B:$B,MATCH(E2589,Categories!$A:$A,0)))</f>
        <v/>
      </c>
      <c r="I2589" s="7" t="str">
        <f t="array" ref="I2589">IF(ISBLANK(F2589), "", INDEX(Categories!$B:$B,MATCH(F2589,Categories!$A:$A,0)))</f>
        <v/>
      </c>
      <c r="J2589" s="4"/>
      <c r="K2589" s="4"/>
      <c r="L2589" s="4"/>
      <c r="M2589" s="4"/>
      <c r="N2589" s="4"/>
      <c r="O2589" s="4"/>
      <c r="P2589" s="4"/>
      <c r="Q2589" s="4"/>
    </row>
    <row r="2590">
      <c r="A2590" s="5">
        <v>2589.0</v>
      </c>
      <c r="B2590" s="5" t="s">
        <v>3115</v>
      </c>
      <c r="C2590" s="5" t="s">
        <v>62</v>
      </c>
      <c r="D2590" s="6">
        <f>IFERROR(__xludf.DUMMYFUNCTION("SPLIT(MID(C2590,2,LEN(C2590)-2), "","")"),242.0)</f>
        <v>242</v>
      </c>
      <c r="E2590" s="7"/>
      <c r="F2590" s="7"/>
      <c r="G2590" s="2" t="str">
        <f t="array" ref="G2590">IF(ISBLANK(D2590), "", INDEX(Categories!$B:$B,MATCH(D2590,Categories!$A:$A,0)))</f>
        <v>Restaurants Pizza</v>
      </c>
      <c r="H2590" s="7" t="str">
        <f t="array" ref="H2590">IF(ISBLANK(E2590), "", INDEX(Categories!$B:$B,MATCH(E2590,Categories!$A:$A,0)))</f>
        <v/>
      </c>
      <c r="I2590" s="7" t="str">
        <f t="array" ref="I2590">IF(ISBLANK(F2590), "", INDEX(Categories!$B:$B,MATCH(F2590,Categories!$A:$A,0)))</f>
        <v/>
      </c>
      <c r="J2590" s="4"/>
      <c r="K2590" s="4"/>
      <c r="L2590" s="4"/>
      <c r="M2590" s="4"/>
      <c r="N2590" s="4"/>
      <c r="O2590" s="4"/>
      <c r="P2590" s="4"/>
      <c r="Q2590" s="4"/>
    </row>
    <row r="2591">
      <c r="A2591" s="5">
        <v>2590.0</v>
      </c>
      <c r="B2591" s="5" t="s">
        <v>3116</v>
      </c>
      <c r="C2591" s="5" t="s">
        <v>425</v>
      </c>
      <c r="D2591" s="6">
        <f>IFERROR(__xludf.DUMMYFUNCTION("SPLIT(MID(C2591,2,LEN(C2591)-2), "","")"),1174.0)</f>
        <v>1174</v>
      </c>
      <c r="E2591" s="7"/>
      <c r="F2591" s="7"/>
      <c r="G2591" s="2" t="str">
        <f t="array" ref="G2591">IF(ISBLANK(D2591), "", INDEX(Categories!$B:$B,MATCH(D2591,Categories!$A:$A,0)))</f>
        <v>Cargo &amp; Freight Services</v>
      </c>
      <c r="H2591" s="7" t="str">
        <f t="array" ref="H2591">IF(ISBLANK(E2591), "", INDEX(Categories!$B:$B,MATCH(E2591,Categories!$A:$A,0)))</f>
        <v/>
      </c>
      <c r="I2591" s="7" t="str">
        <f t="array" ref="I2591">IF(ISBLANK(F2591), "", INDEX(Categories!$B:$B,MATCH(F2591,Categories!$A:$A,0)))</f>
        <v/>
      </c>
      <c r="J2591" s="4"/>
      <c r="K2591" s="4"/>
      <c r="L2591" s="4"/>
      <c r="M2591" s="4"/>
      <c r="N2591" s="4"/>
      <c r="O2591" s="4"/>
      <c r="P2591" s="4"/>
      <c r="Q2591" s="4"/>
    </row>
    <row r="2592">
      <c r="A2592" s="5">
        <v>2591.0</v>
      </c>
      <c r="B2592" s="5" t="s">
        <v>3117</v>
      </c>
      <c r="C2592" s="5" t="s">
        <v>194</v>
      </c>
      <c r="D2592" s="6">
        <f>IFERROR(__xludf.DUMMYFUNCTION("SPLIT(MID(C2592,2,LEN(C2592)-2), "","")"),442.0)</f>
        <v>442</v>
      </c>
      <c r="E2592" s="7"/>
      <c r="F2592" s="7"/>
      <c r="G2592" s="2" t="str">
        <f t="array" ref="G2592">IF(ISBLANK(D2592), "", INDEX(Categories!$B:$B,MATCH(D2592,Categories!$A:$A,0)))</f>
        <v>Pest Control Services</v>
      </c>
      <c r="H2592" s="7" t="str">
        <f t="array" ref="H2592">IF(ISBLANK(E2592), "", INDEX(Categories!$B:$B,MATCH(E2592,Categories!$A:$A,0)))</f>
        <v/>
      </c>
      <c r="I2592" s="7" t="str">
        <f t="array" ref="I2592">IF(ISBLANK(F2592), "", INDEX(Categories!$B:$B,MATCH(F2592,Categories!$A:$A,0)))</f>
        <v/>
      </c>
      <c r="J2592" s="4"/>
      <c r="K2592" s="4"/>
      <c r="L2592" s="4"/>
      <c r="M2592" s="4"/>
      <c r="N2592" s="4"/>
      <c r="O2592" s="4"/>
      <c r="P2592" s="4"/>
      <c r="Q2592" s="4"/>
    </row>
    <row r="2593">
      <c r="A2593" s="5">
        <v>2592.0</v>
      </c>
      <c r="B2593" s="5" t="s">
        <v>3118</v>
      </c>
      <c r="C2593" s="5" t="s">
        <v>3119</v>
      </c>
      <c r="D2593" s="6">
        <f>IFERROR(__xludf.DUMMYFUNCTION("SPLIT(MID(C2593,2,LEN(C2593)-2), "","")"),551.0)</f>
        <v>551</v>
      </c>
      <c r="E2593" s="7"/>
      <c r="F2593" s="7"/>
      <c r="G2593" s="2" t="str">
        <f t="array" ref="G2593">IF(ISBLANK(D2593), "", INDEX(Categories!$B:$B,MATCH(D2593,Categories!$A:$A,0)))</f>
        <v>Hair Removal</v>
      </c>
      <c r="H2593" s="7" t="str">
        <f t="array" ref="H2593">IF(ISBLANK(E2593), "", INDEX(Categories!$B:$B,MATCH(E2593,Categories!$A:$A,0)))</f>
        <v/>
      </c>
      <c r="I2593" s="7" t="str">
        <f t="array" ref="I2593">IF(ISBLANK(F2593), "", INDEX(Categories!$B:$B,MATCH(F2593,Categories!$A:$A,0)))</f>
        <v/>
      </c>
      <c r="J2593" s="4"/>
      <c r="K2593" s="4"/>
      <c r="L2593" s="4"/>
      <c r="M2593" s="4"/>
      <c r="N2593" s="4"/>
      <c r="O2593" s="4"/>
      <c r="P2593" s="4"/>
      <c r="Q2593" s="4"/>
    </row>
    <row r="2594">
      <c r="A2594" s="5">
        <v>2593.0</v>
      </c>
      <c r="B2594" s="5" t="s">
        <v>3120</v>
      </c>
      <c r="C2594" s="5" t="s">
        <v>87</v>
      </c>
      <c r="D2594" s="6">
        <f>IFERROR(__xludf.DUMMYFUNCTION("SPLIT(MID(C2594,2,LEN(C2594)-2), "","")"),168.0)</f>
        <v>168</v>
      </c>
      <c r="E2594" s="7"/>
      <c r="F2594" s="7"/>
      <c r="G2594" s="2" t="str">
        <f t="array" ref="G2594">IF(ISBLANK(D2594), "", INDEX(Categories!$B:$B,MATCH(D2594,Categories!$A:$A,0)))</f>
        <v>Hotels &amp; Motels</v>
      </c>
      <c r="H2594" s="7" t="str">
        <f t="array" ref="H2594">IF(ISBLANK(E2594), "", INDEX(Categories!$B:$B,MATCH(E2594,Categories!$A:$A,0)))</f>
        <v/>
      </c>
      <c r="I2594" s="7" t="str">
        <f t="array" ref="I2594">IF(ISBLANK(F2594), "", INDEX(Categories!$B:$B,MATCH(F2594,Categories!$A:$A,0)))</f>
        <v/>
      </c>
      <c r="J2594" s="4"/>
      <c r="K2594" s="4"/>
      <c r="L2594" s="4"/>
      <c r="M2594" s="4"/>
      <c r="N2594" s="4"/>
      <c r="O2594" s="4"/>
      <c r="P2594" s="4"/>
      <c r="Q2594" s="4"/>
    </row>
    <row r="2595">
      <c r="A2595" s="5">
        <v>2594.0</v>
      </c>
      <c r="B2595" s="5" t="s">
        <v>3121</v>
      </c>
      <c r="C2595" s="5" t="s">
        <v>3122</v>
      </c>
      <c r="D2595" s="6">
        <f>IFERROR(__xludf.DUMMYFUNCTION("SPLIT(MID(C2595,2,LEN(C2595)-2), "","")"),1626.0)</f>
        <v>1626</v>
      </c>
      <c r="E2595" s="7"/>
      <c r="F2595" s="7"/>
      <c r="G2595" s="2" t="str">
        <f t="array" ref="G2595">IF(ISBLANK(D2595), "", INDEX(Categories!$B:$B,MATCH(D2595,Categories!$A:$A,0)))</f>
        <v>Sewing Supplies &amp; Services</v>
      </c>
      <c r="H2595" s="7" t="str">
        <f t="array" ref="H2595">IF(ISBLANK(E2595), "", INDEX(Categories!$B:$B,MATCH(E2595,Categories!$A:$A,0)))</f>
        <v/>
      </c>
      <c r="I2595" s="7" t="str">
        <f t="array" ref="I2595">IF(ISBLANK(F2595), "", INDEX(Categories!$B:$B,MATCH(F2595,Categories!$A:$A,0)))</f>
        <v/>
      </c>
      <c r="J2595" s="4"/>
      <c r="K2595" s="4"/>
      <c r="L2595" s="4"/>
      <c r="M2595" s="4"/>
      <c r="N2595" s="4"/>
      <c r="O2595" s="4"/>
      <c r="P2595" s="4"/>
      <c r="Q2595" s="4"/>
    </row>
    <row r="2596">
      <c r="A2596" s="5">
        <v>2595.0</v>
      </c>
      <c r="B2596" s="5" t="s">
        <v>3123</v>
      </c>
      <c r="C2596" s="5" t="s">
        <v>3124</v>
      </c>
      <c r="D2596" s="6">
        <f>IFERROR(__xludf.DUMMYFUNCTION("SPLIT(MID(C2596,2,LEN(C2596)-2), "","")"),772.0)</f>
        <v>772</v>
      </c>
      <c r="E2596" s="7"/>
      <c r="F2596" s="7"/>
      <c r="G2596" s="2" t="str">
        <f t="array" ref="G2596">IF(ISBLANK(D2596), "", INDEX(Categories!$B:$B,MATCH(D2596,Categories!$A:$A,0)))</f>
        <v>Bail Bonds</v>
      </c>
      <c r="H2596" s="7" t="str">
        <f t="array" ref="H2596">IF(ISBLANK(E2596), "", INDEX(Categories!$B:$B,MATCH(E2596,Categories!$A:$A,0)))</f>
        <v/>
      </c>
      <c r="I2596" s="7" t="str">
        <f t="array" ref="I2596">IF(ISBLANK(F2596), "", INDEX(Categories!$B:$B,MATCH(F2596,Categories!$A:$A,0)))</f>
        <v/>
      </c>
      <c r="J2596" s="4"/>
      <c r="K2596" s="4"/>
      <c r="L2596" s="4"/>
      <c r="M2596" s="4"/>
      <c r="N2596" s="4"/>
      <c r="O2596" s="4"/>
      <c r="P2596" s="4"/>
      <c r="Q2596" s="4"/>
    </row>
    <row r="2597">
      <c r="A2597" s="5">
        <v>2596.0</v>
      </c>
      <c r="B2597" s="5" t="s">
        <v>3125</v>
      </c>
      <c r="C2597" s="5" t="s">
        <v>428</v>
      </c>
      <c r="D2597" s="6">
        <f>IFERROR(__xludf.DUMMYFUNCTION("SPLIT(MID(C2597,2,LEN(C2597)-2), "","")"),558.0)</f>
        <v>558</v>
      </c>
      <c r="E2597" s="7"/>
      <c r="F2597" s="7"/>
      <c r="G2597" s="2" t="str">
        <f t="array" ref="G2597">IF(ISBLANK(D2597), "", INDEX(Categories!$B:$B,MATCH(D2597,Categories!$A:$A,0)))</f>
        <v>Employment Agencies</v>
      </c>
      <c r="H2597" s="7" t="str">
        <f t="array" ref="H2597">IF(ISBLANK(E2597), "", INDEX(Categories!$B:$B,MATCH(E2597,Categories!$A:$A,0)))</f>
        <v/>
      </c>
      <c r="I2597" s="7" t="str">
        <f t="array" ref="I2597">IF(ISBLANK(F2597), "", INDEX(Categories!$B:$B,MATCH(F2597,Categories!$A:$A,0)))</f>
        <v/>
      </c>
      <c r="J2597" s="4"/>
      <c r="K2597" s="4"/>
      <c r="L2597" s="4"/>
      <c r="M2597" s="4"/>
      <c r="N2597" s="4"/>
      <c r="O2597" s="4"/>
      <c r="P2597" s="4"/>
      <c r="Q2597" s="4"/>
    </row>
    <row r="2598">
      <c r="A2598" s="5">
        <v>2597.0</v>
      </c>
      <c r="B2598" s="5" t="s">
        <v>3126</v>
      </c>
      <c r="C2598" s="5" t="s">
        <v>34</v>
      </c>
      <c r="D2598" s="6">
        <f>IFERROR(__xludf.DUMMYFUNCTION("SPLIT(MID(C2598,2,LEN(C2598)-2), "","")"),228.0)</f>
        <v>228</v>
      </c>
      <c r="E2598" s="7"/>
      <c r="F2598" s="7"/>
      <c r="G2598" s="2" t="str">
        <f t="array" ref="G2598">IF(ISBLANK(D2598), "", INDEX(Categories!$B:$B,MATCH(D2598,Categories!$A:$A,0)))</f>
        <v>Restaurants</v>
      </c>
      <c r="H2598" s="7" t="str">
        <f t="array" ref="H2598">IF(ISBLANK(E2598), "", INDEX(Categories!$B:$B,MATCH(E2598,Categories!$A:$A,0)))</f>
        <v/>
      </c>
      <c r="I2598" s="7" t="str">
        <f t="array" ref="I2598">IF(ISBLANK(F2598), "", INDEX(Categories!$B:$B,MATCH(F2598,Categories!$A:$A,0)))</f>
        <v/>
      </c>
      <c r="J2598" s="4"/>
      <c r="K2598" s="4"/>
      <c r="L2598" s="4"/>
      <c r="M2598" s="4"/>
      <c r="N2598" s="4"/>
      <c r="O2598" s="4"/>
      <c r="P2598" s="4"/>
      <c r="Q2598" s="4"/>
    </row>
    <row r="2599">
      <c r="A2599" s="5">
        <v>2598.0</v>
      </c>
      <c r="B2599" s="5" t="s">
        <v>3127</v>
      </c>
      <c r="C2599" s="5" t="s">
        <v>303</v>
      </c>
      <c r="D2599" s="6">
        <f>IFERROR(__xludf.DUMMYFUNCTION("SPLIT(MID(C2599,2,LEN(C2599)-2), "","")"),1241.0)</f>
        <v>1241</v>
      </c>
      <c r="E2599" s="7"/>
      <c r="F2599" s="7"/>
      <c r="G2599" s="2" t="str">
        <f t="array" ref="G2599">IF(ISBLANK(D2599), "", INDEX(Categories!$B:$B,MATCH(D2599,Categories!$A:$A,0)))</f>
        <v>Clothing &amp; Accessories</v>
      </c>
      <c r="H2599" s="7" t="str">
        <f t="array" ref="H2599">IF(ISBLANK(E2599), "", INDEX(Categories!$B:$B,MATCH(E2599,Categories!$A:$A,0)))</f>
        <v/>
      </c>
      <c r="I2599" s="7" t="str">
        <f t="array" ref="I2599">IF(ISBLANK(F2599), "", INDEX(Categories!$B:$B,MATCH(F2599,Categories!$A:$A,0)))</f>
        <v/>
      </c>
      <c r="J2599" s="4"/>
      <c r="K2599" s="4"/>
      <c r="L2599" s="4"/>
      <c r="M2599" s="4"/>
      <c r="N2599" s="4"/>
      <c r="O2599" s="4"/>
      <c r="P2599" s="4"/>
      <c r="Q2599" s="4"/>
    </row>
    <row r="2600">
      <c r="A2600" s="5">
        <v>2599.0</v>
      </c>
      <c r="B2600" s="5" t="s">
        <v>3128</v>
      </c>
      <c r="C2600" s="5" t="s">
        <v>69</v>
      </c>
      <c r="D2600" s="6">
        <f>IFERROR(__xludf.DUMMYFUNCTION("SPLIT(MID(C2600,2,LEN(C2600)-2), "","")"),293.0)</f>
        <v>293</v>
      </c>
      <c r="E2600" s="7"/>
      <c r="F2600" s="7"/>
      <c r="G2600" s="2" t="str">
        <f t="array" ref="G2600">IF(ISBLANK(D2600), "", INDEX(Categories!$B:$B,MATCH(D2600,Categories!$A:$A,0)))</f>
        <v>Banks Commercial</v>
      </c>
      <c r="H2600" s="7" t="str">
        <f t="array" ref="H2600">IF(ISBLANK(E2600), "", INDEX(Categories!$B:$B,MATCH(E2600,Categories!$A:$A,0)))</f>
        <v/>
      </c>
      <c r="I2600" s="7" t="str">
        <f t="array" ref="I2600">IF(ISBLANK(F2600), "", INDEX(Categories!$B:$B,MATCH(F2600,Categories!$A:$A,0)))</f>
        <v/>
      </c>
      <c r="J2600" s="4"/>
      <c r="K2600" s="4"/>
      <c r="L2600" s="4"/>
      <c r="M2600" s="4"/>
      <c r="N2600" s="4"/>
      <c r="O2600" s="4"/>
      <c r="P2600" s="4"/>
      <c r="Q2600" s="4"/>
    </row>
    <row r="2601">
      <c r="A2601" s="5">
        <v>2600.0</v>
      </c>
      <c r="B2601" s="5" t="s">
        <v>3129</v>
      </c>
      <c r="C2601" s="5" t="s">
        <v>3130</v>
      </c>
      <c r="D2601" s="6">
        <f>IFERROR(__xludf.DUMMYFUNCTION("SPLIT(MID(C2601,2,LEN(C2601)-2), "","")"),1271.0)</f>
        <v>1271</v>
      </c>
      <c r="E2601" s="7"/>
      <c r="F2601" s="7"/>
      <c r="G2601" s="2" t="str">
        <f t="array" ref="G2601">IF(ISBLANK(D2601), "", INDEX(Categories!$B:$B,MATCH(D2601,Categories!$A:$A,0)))</f>
        <v>Western Apparel Retail</v>
      </c>
      <c r="H2601" s="7" t="str">
        <f t="array" ref="H2601">IF(ISBLANK(E2601), "", INDEX(Categories!$B:$B,MATCH(E2601,Categories!$A:$A,0)))</f>
        <v/>
      </c>
      <c r="I2601" s="7" t="str">
        <f t="array" ref="I2601">IF(ISBLANK(F2601), "", INDEX(Categories!$B:$B,MATCH(F2601,Categories!$A:$A,0)))</f>
        <v/>
      </c>
      <c r="J2601" s="4"/>
      <c r="K2601" s="4"/>
      <c r="L2601" s="4"/>
      <c r="M2601" s="4"/>
      <c r="N2601" s="4"/>
      <c r="O2601" s="4"/>
      <c r="P2601" s="4"/>
      <c r="Q2601" s="4"/>
    </row>
    <row r="2602">
      <c r="A2602" s="5">
        <v>2601.0</v>
      </c>
      <c r="B2602" s="5" t="s">
        <v>3131</v>
      </c>
      <c r="C2602" s="5" t="s">
        <v>428</v>
      </c>
      <c r="D2602" s="6">
        <f>IFERROR(__xludf.DUMMYFUNCTION("SPLIT(MID(C2602,2,LEN(C2602)-2), "","")"),558.0)</f>
        <v>558</v>
      </c>
      <c r="E2602" s="7"/>
      <c r="F2602" s="7"/>
      <c r="G2602" s="2" t="str">
        <f t="array" ref="G2602">IF(ISBLANK(D2602), "", INDEX(Categories!$B:$B,MATCH(D2602,Categories!$A:$A,0)))</f>
        <v>Employment Agencies</v>
      </c>
      <c r="H2602" s="7" t="str">
        <f t="array" ref="H2602">IF(ISBLANK(E2602), "", INDEX(Categories!$B:$B,MATCH(E2602,Categories!$A:$A,0)))</f>
        <v/>
      </c>
      <c r="I2602" s="7" t="str">
        <f t="array" ref="I2602">IF(ISBLANK(F2602), "", INDEX(Categories!$B:$B,MATCH(F2602,Categories!$A:$A,0)))</f>
        <v/>
      </c>
      <c r="J2602" s="4"/>
      <c r="K2602" s="4"/>
      <c r="L2602" s="4"/>
      <c r="M2602" s="4"/>
      <c r="N2602" s="4"/>
      <c r="O2602" s="4"/>
      <c r="P2602" s="4"/>
      <c r="Q2602" s="4"/>
    </row>
    <row r="2603">
      <c r="A2603" s="5">
        <v>2602.0</v>
      </c>
      <c r="B2603" s="5" t="s">
        <v>3132</v>
      </c>
      <c r="C2603" s="5" t="s">
        <v>174</v>
      </c>
      <c r="D2603" s="6">
        <f>IFERROR(__xludf.DUMMYFUNCTION("SPLIT(MID(C2603,2,LEN(C2603)-2), "","")"),1317.0)</f>
        <v>1317</v>
      </c>
      <c r="E2603" s="7"/>
      <c r="F2603" s="7"/>
      <c r="G2603" s="2" t="str">
        <f t="array" ref="G2603">IF(ISBLANK(D2603), "", INDEX(Categories!$B:$B,MATCH(D2603,Categories!$A:$A,0)))</f>
        <v>Financial Planning &amp; Investments</v>
      </c>
      <c r="H2603" s="7" t="str">
        <f t="array" ref="H2603">IF(ISBLANK(E2603), "", INDEX(Categories!$B:$B,MATCH(E2603,Categories!$A:$A,0)))</f>
        <v/>
      </c>
      <c r="I2603" s="7" t="str">
        <f t="array" ref="I2603">IF(ISBLANK(F2603), "", INDEX(Categories!$B:$B,MATCH(F2603,Categories!$A:$A,0)))</f>
        <v/>
      </c>
      <c r="J2603" s="4"/>
      <c r="K2603" s="4"/>
      <c r="L2603" s="4"/>
      <c r="M2603" s="4"/>
      <c r="N2603" s="4"/>
      <c r="O2603" s="4"/>
      <c r="P2603" s="4"/>
      <c r="Q2603" s="4"/>
    </row>
    <row r="2604">
      <c r="A2604" s="5">
        <v>2603.0</v>
      </c>
      <c r="B2604" s="5" t="s">
        <v>3133</v>
      </c>
      <c r="C2604" s="5" t="s">
        <v>69</v>
      </c>
      <c r="D2604" s="6">
        <f>IFERROR(__xludf.DUMMYFUNCTION("SPLIT(MID(C2604,2,LEN(C2604)-2), "","")"),293.0)</f>
        <v>293</v>
      </c>
      <c r="E2604" s="7"/>
      <c r="F2604" s="7"/>
      <c r="G2604" s="2" t="str">
        <f t="array" ref="G2604">IF(ISBLANK(D2604), "", INDEX(Categories!$B:$B,MATCH(D2604,Categories!$A:$A,0)))</f>
        <v>Banks Commercial</v>
      </c>
      <c r="H2604" s="7" t="str">
        <f t="array" ref="H2604">IF(ISBLANK(E2604), "", INDEX(Categories!$B:$B,MATCH(E2604,Categories!$A:$A,0)))</f>
        <v/>
      </c>
      <c r="I2604" s="7" t="str">
        <f t="array" ref="I2604">IF(ISBLANK(F2604), "", INDEX(Categories!$B:$B,MATCH(F2604,Categories!$A:$A,0)))</f>
        <v/>
      </c>
      <c r="J2604" s="4"/>
      <c r="K2604" s="4"/>
      <c r="L2604" s="4"/>
      <c r="M2604" s="4"/>
      <c r="N2604" s="4"/>
      <c r="O2604" s="4"/>
      <c r="P2604" s="4"/>
      <c r="Q2604" s="4"/>
    </row>
    <row r="2605">
      <c r="A2605" s="5">
        <v>2604.0</v>
      </c>
      <c r="B2605" s="5" t="s">
        <v>3134</v>
      </c>
      <c r="C2605" s="5" t="s">
        <v>3135</v>
      </c>
      <c r="D2605" s="6">
        <f>IFERROR(__xludf.DUMMYFUNCTION("SPLIT(MID(C2605,2,LEN(C2605)-2), "","")"),178.0)</f>
        <v>178</v>
      </c>
      <c r="E2605" s="7"/>
      <c r="F2605" s="7"/>
      <c r="G2605" s="2" t="str">
        <f t="array" ref="G2605">IF(ISBLANK(D2605), "", INDEX(Categories!$B:$B,MATCH(D2605,Categories!$A:$A,0)))</f>
        <v>Physicians &amp; Surgeons Pediatrics</v>
      </c>
      <c r="H2605" s="7" t="str">
        <f t="array" ref="H2605">IF(ISBLANK(E2605), "", INDEX(Categories!$B:$B,MATCH(E2605,Categories!$A:$A,0)))</f>
        <v/>
      </c>
      <c r="I2605" s="7" t="str">
        <f t="array" ref="I2605">IF(ISBLANK(F2605), "", INDEX(Categories!$B:$B,MATCH(F2605,Categories!$A:$A,0)))</f>
        <v/>
      </c>
      <c r="J2605" s="4"/>
      <c r="K2605" s="4"/>
      <c r="L2605" s="4"/>
      <c r="M2605" s="4"/>
      <c r="N2605" s="4"/>
      <c r="O2605" s="4"/>
      <c r="P2605" s="4"/>
      <c r="Q2605" s="4"/>
    </row>
    <row r="2606">
      <c r="A2606" s="5">
        <v>2605.0</v>
      </c>
      <c r="B2606" s="5" t="s">
        <v>3136</v>
      </c>
      <c r="C2606" s="5" t="s">
        <v>3137</v>
      </c>
      <c r="D2606" s="6">
        <f>IFERROR(__xludf.DUMMYFUNCTION("SPLIT(MID(C2606,2,LEN(C2606)-2), "","")"),1460.0)</f>
        <v>1460</v>
      </c>
      <c r="E2606" s="7"/>
      <c r="F2606" s="7"/>
      <c r="G2606" s="2" t="str">
        <f t="array" ref="G2606">IF(ISBLANK(D2606), "", INDEX(Categories!$B:$B,MATCH(D2606,Categories!$A:$A,0)))</f>
        <v>Games &amp; Game Supplies</v>
      </c>
      <c r="H2606" s="7" t="str">
        <f t="array" ref="H2606">IF(ISBLANK(E2606), "", INDEX(Categories!$B:$B,MATCH(E2606,Categories!$A:$A,0)))</f>
        <v/>
      </c>
      <c r="I2606" s="7" t="str">
        <f t="array" ref="I2606">IF(ISBLANK(F2606), "", INDEX(Categories!$B:$B,MATCH(F2606,Categories!$A:$A,0)))</f>
        <v/>
      </c>
      <c r="J2606" s="4"/>
      <c r="K2606" s="4"/>
      <c r="L2606" s="4"/>
      <c r="M2606" s="4"/>
      <c r="N2606" s="4"/>
      <c r="O2606" s="4"/>
      <c r="P2606" s="4"/>
      <c r="Q2606" s="4"/>
    </row>
    <row r="2607">
      <c r="A2607" s="5">
        <v>2606.0</v>
      </c>
      <c r="B2607" s="5" t="s">
        <v>3138</v>
      </c>
      <c r="C2607" s="5" t="s">
        <v>43</v>
      </c>
      <c r="D2607" s="6">
        <f>IFERROR(__xludf.DUMMYFUNCTION("SPLIT(MID(C2607,2,LEN(C2607)-2), "","")"),292.0)</f>
        <v>292</v>
      </c>
      <c r="E2607" s="7"/>
      <c r="F2607" s="7"/>
      <c r="G2607" s="2" t="str">
        <f t="array" ref="G2607">IF(ISBLANK(D2607), "", INDEX(Categories!$B:$B,MATCH(D2607,Categories!$A:$A,0)))</f>
        <v>Banks</v>
      </c>
      <c r="H2607" s="7" t="str">
        <f t="array" ref="H2607">IF(ISBLANK(E2607), "", INDEX(Categories!$B:$B,MATCH(E2607,Categories!$A:$A,0)))</f>
        <v/>
      </c>
      <c r="I2607" s="7" t="str">
        <f t="array" ref="I2607">IF(ISBLANK(F2607), "", INDEX(Categories!$B:$B,MATCH(F2607,Categories!$A:$A,0)))</f>
        <v/>
      </c>
      <c r="J2607" s="4"/>
      <c r="K2607" s="4"/>
      <c r="L2607" s="4"/>
      <c r="M2607" s="4"/>
      <c r="N2607" s="4"/>
      <c r="O2607" s="4"/>
      <c r="P2607" s="4"/>
      <c r="Q2607" s="4"/>
    </row>
    <row r="2608">
      <c r="A2608" s="5">
        <v>2607.0</v>
      </c>
      <c r="B2608" s="5" t="s">
        <v>3139</v>
      </c>
      <c r="C2608" s="5" t="s">
        <v>332</v>
      </c>
      <c r="D2608" s="6">
        <f>IFERROR(__xludf.DUMMYFUNCTION("SPLIT(MID(C2608,2,LEN(C2608)-2), "","")"),768.0)</f>
        <v>768</v>
      </c>
      <c r="E2608" s="7"/>
      <c r="F2608" s="7"/>
      <c r="G2608" s="2" t="str">
        <f t="array" ref="G2608">IF(ISBLANK(D2608), "", INDEX(Categories!$B:$B,MATCH(D2608,Categories!$A:$A,0)))</f>
        <v>Thrift Stores</v>
      </c>
      <c r="H2608" s="7" t="str">
        <f t="array" ref="H2608">IF(ISBLANK(E2608), "", INDEX(Categories!$B:$B,MATCH(E2608,Categories!$A:$A,0)))</f>
        <v/>
      </c>
      <c r="I2608" s="7" t="str">
        <f t="array" ref="I2608">IF(ISBLANK(F2608), "", INDEX(Categories!$B:$B,MATCH(F2608,Categories!$A:$A,0)))</f>
        <v/>
      </c>
      <c r="J2608" s="4"/>
      <c r="K2608" s="4"/>
      <c r="L2608" s="4"/>
      <c r="M2608" s="4"/>
      <c r="N2608" s="4"/>
      <c r="O2608" s="4"/>
      <c r="P2608" s="4"/>
      <c r="Q2608" s="4"/>
    </row>
    <row r="2609">
      <c r="A2609" s="5">
        <v>2608.0</v>
      </c>
      <c r="B2609" s="5" t="s">
        <v>3140</v>
      </c>
      <c r="C2609" s="5" t="s">
        <v>3141</v>
      </c>
      <c r="D2609" s="6">
        <f>IFERROR(__xludf.DUMMYFUNCTION("SPLIT(MID(C2609,2,LEN(C2609)-2), "","")"),124.0)</f>
        <v>124</v>
      </c>
      <c r="E2609" s="7"/>
      <c r="F2609" s="7"/>
      <c r="G2609" s="2" t="str">
        <f t="array" ref="G2609">IF(ISBLANK(D2609), "", INDEX(Categories!$B:$B,MATCH(D2609,Categories!$A:$A,0)))</f>
        <v>Employee Benefit &amp; Compensation Plans</v>
      </c>
      <c r="H2609" s="7" t="str">
        <f t="array" ref="H2609">IF(ISBLANK(E2609), "", INDEX(Categories!$B:$B,MATCH(E2609,Categories!$A:$A,0)))</f>
        <v/>
      </c>
      <c r="I2609" s="7" t="str">
        <f t="array" ref="I2609">IF(ISBLANK(F2609), "", INDEX(Categories!$B:$B,MATCH(F2609,Categories!$A:$A,0)))</f>
        <v/>
      </c>
      <c r="J2609" s="4"/>
      <c r="K2609" s="4"/>
      <c r="L2609" s="4"/>
      <c r="M2609" s="4"/>
      <c r="N2609" s="4"/>
      <c r="O2609" s="4"/>
      <c r="P2609" s="4"/>
      <c r="Q2609" s="4"/>
    </row>
    <row r="2610">
      <c r="A2610" s="5">
        <v>2609.0</v>
      </c>
      <c r="B2610" s="5" t="s">
        <v>3142</v>
      </c>
      <c r="C2610" s="5" t="s">
        <v>3143</v>
      </c>
      <c r="D2610" s="6">
        <f>IFERROR(__xludf.DUMMYFUNCTION("SPLIT(MID(C2610,2,LEN(C2610)-2), "","")"),1677.0)</f>
        <v>1677</v>
      </c>
      <c r="E2610" s="7"/>
      <c r="F2610" s="7"/>
      <c r="G2610" s="2" t="str">
        <f t="array" ref="G2610">IF(ISBLANK(D2610), "", INDEX(Categories!$B:$B,MATCH(D2610,Categories!$A:$A,0)))</f>
        <v>Scientific Equipment &amp; Supplies</v>
      </c>
      <c r="H2610" s="7" t="str">
        <f t="array" ref="H2610">IF(ISBLANK(E2610), "", INDEX(Categories!$B:$B,MATCH(E2610,Categories!$A:$A,0)))</f>
        <v/>
      </c>
      <c r="I2610" s="7" t="str">
        <f t="array" ref="I2610">IF(ISBLANK(F2610), "", INDEX(Categories!$B:$B,MATCH(F2610,Categories!$A:$A,0)))</f>
        <v/>
      </c>
      <c r="J2610" s="4"/>
      <c r="K2610" s="4"/>
      <c r="L2610" s="4"/>
      <c r="M2610" s="4"/>
      <c r="N2610" s="4"/>
      <c r="O2610" s="4"/>
      <c r="P2610" s="4"/>
      <c r="Q2610" s="4"/>
    </row>
    <row r="2611">
      <c r="A2611" s="5">
        <v>2610.0</v>
      </c>
      <c r="B2611" s="5" t="s">
        <v>3144</v>
      </c>
      <c r="C2611" s="5" t="s">
        <v>16</v>
      </c>
      <c r="D2611" s="6">
        <f>IFERROR(__xludf.DUMMYFUNCTION("SPLIT(MID(C2611,2,LEN(C2611)-2), "","")"),51.0)</f>
        <v>51</v>
      </c>
      <c r="E2611" s="7"/>
      <c r="F2611" s="7"/>
      <c r="G2611" s="2" t="str">
        <f t="array" ref="G2611">IF(ISBLANK(D2611), "", INDEX(Categories!$B:$B,MATCH(D2611,Categories!$A:$A,0)))</f>
        <v>Automobile Parts &amp; Supplies</v>
      </c>
      <c r="H2611" s="7" t="str">
        <f t="array" ref="H2611">IF(ISBLANK(E2611), "", INDEX(Categories!$B:$B,MATCH(E2611,Categories!$A:$A,0)))</f>
        <v/>
      </c>
      <c r="I2611" s="7" t="str">
        <f t="array" ref="I2611">IF(ISBLANK(F2611), "", INDEX(Categories!$B:$B,MATCH(F2611,Categories!$A:$A,0)))</f>
        <v/>
      </c>
      <c r="J2611" s="4"/>
      <c r="K2611" s="4"/>
      <c r="L2611" s="4"/>
      <c r="M2611" s="4"/>
      <c r="N2611" s="4"/>
      <c r="O2611" s="4"/>
      <c r="P2611" s="4"/>
      <c r="Q2611" s="4"/>
    </row>
    <row r="2612">
      <c r="A2612" s="5">
        <v>2611.0</v>
      </c>
      <c r="B2612" s="5" t="s">
        <v>3145</v>
      </c>
      <c r="C2612" s="5" t="s">
        <v>34</v>
      </c>
      <c r="D2612" s="6">
        <f>IFERROR(__xludf.DUMMYFUNCTION("SPLIT(MID(C2612,2,LEN(C2612)-2), "","")"),228.0)</f>
        <v>228</v>
      </c>
      <c r="E2612" s="7"/>
      <c r="F2612" s="7"/>
      <c r="G2612" s="2" t="str">
        <f t="array" ref="G2612">IF(ISBLANK(D2612), "", INDEX(Categories!$B:$B,MATCH(D2612,Categories!$A:$A,0)))</f>
        <v>Restaurants</v>
      </c>
      <c r="H2612" s="7" t="str">
        <f t="array" ref="H2612">IF(ISBLANK(E2612), "", INDEX(Categories!$B:$B,MATCH(E2612,Categories!$A:$A,0)))</f>
        <v/>
      </c>
      <c r="I2612" s="7" t="str">
        <f t="array" ref="I2612">IF(ISBLANK(F2612), "", INDEX(Categories!$B:$B,MATCH(F2612,Categories!$A:$A,0)))</f>
        <v/>
      </c>
      <c r="J2612" s="4"/>
      <c r="K2612" s="4"/>
      <c r="L2612" s="4"/>
      <c r="M2612" s="4"/>
      <c r="N2612" s="4"/>
      <c r="O2612" s="4"/>
      <c r="P2612" s="4"/>
      <c r="Q2612" s="4"/>
    </row>
    <row r="2613">
      <c r="A2613" s="5">
        <v>2612.0</v>
      </c>
      <c r="B2613" s="5" t="s">
        <v>3146</v>
      </c>
      <c r="C2613" s="5" t="s">
        <v>3147</v>
      </c>
      <c r="D2613" s="6">
        <f>IFERROR(__xludf.DUMMYFUNCTION("SPLIT(MID(C2613,2,LEN(C2613)-2), "","")"),2347.0)</f>
        <v>2347</v>
      </c>
      <c r="E2613" s="7"/>
      <c r="F2613" s="7"/>
      <c r="G2613" s="2" t="str">
        <f t="array" ref="G2613">IF(ISBLANK(D2613), "", INDEX(Categories!$B:$B,MATCH(D2613,Categories!$A:$A,0)))</f>
        <v>Batteries Wholesale &amp; Manufacturers</v>
      </c>
      <c r="H2613" s="7" t="str">
        <f t="array" ref="H2613">IF(ISBLANK(E2613), "", INDEX(Categories!$B:$B,MATCH(E2613,Categories!$A:$A,0)))</f>
        <v/>
      </c>
      <c r="I2613" s="7" t="str">
        <f t="array" ref="I2613">IF(ISBLANK(F2613), "", INDEX(Categories!$B:$B,MATCH(F2613,Categories!$A:$A,0)))</f>
        <v/>
      </c>
      <c r="J2613" s="4"/>
      <c r="K2613" s="4"/>
      <c r="L2613" s="4"/>
      <c r="M2613" s="4"/>
      <c r="N2613" s="4"/>
      <c r="O2613" s="4"/>
      <c r="P2613" s="4"/>
      <c r="Q2613" s="4"/>
    </row>
    <row r="2614">
      <c r="A2614" s="5">
        <v>2613.0</v>
      </c>
      <c r="B2614" s="5" t="s">
        <v>3148</v>
      </c>
      <c r="C2614" s="5" t="s">
        <v>3149</v>
      </c>
      <c r="D2614" s="6">
        <f>IFERROR(__xludf.DUMMYFUNCTION("SPLIT(MID(C2614,2,LEN(C2614)-2), "","")"),937.0)</f>
        <v>937</v>
      </c>
      <c r="E2614" s="7"/>
      <c r="F2614" s="7"/>
      <c r="G2614" s="2" t="str">
        <f t="array" ref="G2614">IF(ISBLANK(D2614), "", INDEX(Categories!$B:$B,MATCH(D2614,Categories!$A:$A,0)))</f>
        <v>Mortgages</v>
      </c>
      <c r="H2614" s="7" t="str">
        <f t="array" ref="H2614">IF(ISBLANK(E2614), "", INDEX(Categories!$B:$B,MATCH(E2614,Categories!$A:$A,0)))</f>
        <v/>
      </c>
      <c r="I2614" s="7" t="str">
        <f t="array" ref="I2614">IF(ISBLANK(F2614), "", INDEX(Categories!$B:$B,MATCH(F2614,Categories!$A:$A,0)))</f>
        <v/>
      </c>
      <c r="J2614" s="4"/>
      <c r="K2614" s="4"/>
      <c r="L2614" s="4"/>
      <c r="M2614" s="4"/>
      <c r="N2614" s="4"/>
      <c r="O2614" s="4"/>
      <c r="P2614" s="4"/>
      <c r="Q2614" s="4"/>
    </row>
    <row r="2615">
      <c r="A2615" s="5">
        <v>2614.0</v>
      </c>
      <c r="B2615" s="5" t="s">
        <v>3150</v>
      </c>
      <c r="C2615" s="5" t="s">
        <v>3119</v>
      </c>
      <c r="D2615" s="6">
        <f>IFERROR(__xludf.DUMMYFUNCTION("SPLIT(MID(C2615,2,LEN(C2615)-2), "","")"),551.0)</f>
        <v>551</v>
      </c>
      <c r="E2615" s="7"/>
      <c r="F2615" s="7"/>
      <c r="G2615" s="2" t="str">
        <f t="array" ref="G2615">IF(ISBLANK(D2615), "", INDEX(Categories!$B:$B,MATCH(D2615,Categories!$A:$A,0)))</f>
        <v>Hair Removal</v>
      </c>
      <c r="H2615" s="7" t="str">
        <f t="array" ref="H2615">IF(ISBLANK(E2615), "", INDEX(Categories!$B:$B,MATCH(E2615,Categories!$A:$A,0)))</f>
        <v/>
      </c>
      <c r="I2615" s="7" t="str">
        <f t="array" ref="I2615">IF(ISBLANK(F2615), "", INDEX(Categories!$B:$B,MATCH(F2615,Categories!$A:$A,0)))</f>
        <v/>
      </c>
      <c r="J2615" s="4"/>
      <c r="K2615" s="4"/>
      <c r="L2615" s="4"/>
      <c r="M2615" s="4"/>
      <c r="N2615" s="4"/>
      <c r="O2615" s="4"/>
      <c r="P2615" s="4"/>
      <c r="Q2615" s="4"/>
    </row>
    <row r="2616">
      <c r="A2616" s="5">
        <v>2615.0</v>
      </c>
      <c r="B2616" s="5" t="s">
        <v>3151</v>
      </c>
      <c r="C2616" s="5" t="s">
        <v>3152</v>
      </c>
      <c r="D2616" s="6">
        <f>IFERROR(__xludf.DUMMYFUNCTION("SPLIT(MID(C2616,2,LEN(C2616)-2), "","")"),2545.0)</f>
        <v>2545</v>
      </c>
      <c r="E2616" s="7"/>
      <c r="F2616" s="7"/>
      <c r="G2616" s="2" t="str">
        <f t="array" ref="G2616">IF(ISBLANK(D2616), "", INDEX(Categories!$B:$B,MATCH(D2616,Categories!$A:$A,0)))</f>
        <v>Cleaning Service Pressure Chemical Industrial Etc</v>
      </c>
      <c r="H2616" s="7" t="str">
        <f t="array" ref="H2616">IF(ISBLANK(E2616), "", INDEX(Categories!$B:$B,MATCH(E2616,Categories!$A:$A,0)))</f>
        <v/>
      </c>
      <c r="I2616" s="7" t="str">
        <f t="array" ref="I2616">IF(ISBLANK(F2616), "", INDEX(Categories!$B:$B,MATCH(F2616,Categories!$A:$A,0)))</f>
        <v/>
      </c>
      <c r="J2616" s="4"/>
      <c r="K2616" s="4"/>
      <c r="L2616" s="4"/>
      <c r="M2616" s="4"/>
      <c r="N2616" s="4"/>
      <c r="O2616" s="4"/>
      <c r="P2616" s="4"/>
      <c r="Q2616" s="4"/>
    </row>
    <row r="2617">
      <c r="A2617" s="5">
        <v>2616.0</v>
      </c>
      <c r="B2617" s="5" t="s">
        <v>3153</v>
      </c>
      <c r="C2617" s="5" t="s">
        <v>274</v>
      </c>
      <c r="D2617" s="6">
        <f>IFERROR(__xludf.DUMMYFUNCTION("SPLIT(MID(C2617,2,LEN(C2617)-2), "","")"),619.0)</f>
        <v>619</v>
      </c>
      <c r="E2617" s="7"/>
      <c r="F2617" s="7"/>
      <c r="G2617" s="2" t="str">
        <f t="array" ref="G2617">IF(ISBLANK(D2617), "", INDEX(Categories!$B:$B,MATCH(D2617,Categories!$A:$A,0)))</f>
        <v>Jewelry</v>
      </c>
      <c r="H2617" s="7" t="str">
        <f t="array" ref="H2617">IF(ISBLANK(E2617), "", INDEX(Categories!$B:$B,MATCH(E2617,Categories!$A:$A,0)))</f>
        <v/>
      </c>
      <c r="I2617" s="7" t="str">
        <f t="array" ref="I2617">IF(ISBLANK(F2617), "", INDEX(Categories!$B:$B,MATCH(F2617,Categories!$A:$A,0)))</f>
        <v/>
      </c>
      <c r="J2617" s="4"/>
      <c r="K2617" s="4"/>
      <c r="L2617" s="4"/>
      <c r="M2617" s="4"/>
      <c r="N2617" s="4"/>
      <c r="O2617" s="4"/>
      <c r="P2617" s="4"/>
      <c r="Q2617" s="4"/>
    </row>
    <row r="2618">
      <c r="A2618" s="5">
        <v>2617.0</v>
      </c>
      <c r="B2618" s="5" t="s">
        <v>3154</v>
      </c>
      <c r="C2618" s="5" t="s">
        <v>34</v>
      </c>
      <c r="D2618" s="6">
        <f>IFERROR(__xludf.DUMMYFUNCTION("SPLIT(MID(C2618,2,LEN(C2618)-2), "","")"),228.0)</f>
        <v>228</v>
      </c>
      <c r="E2618" s="7"/>
      <c r="F2618" s="7"/>
      <c r="G2618" s="2" t="str">
        <f t="array" ref="G2618">IF(ISBLANK(D2618), "", INDEX(Categories!$B:$B,MATCH(D2618,Categories!$A:$A,0)))</f>
        <v>Restaurants</v>
      </c>
      <c r="H2618" s="7" t="str">
        <f t="array" ref="H2618">IF(ISBLANK(E2618), "", INDEX(Categories!$B:$B,MATCH(E2618,Categories!$A:$A,0)))</f>
        <v/>
      </c>
      <c r="I2618" s="7" t="str">
        <f t="array" ref="I2618">IF(ISBLANK(F2618), "", INDEX(Categories!$B:$B,MATCH(F2618,Categories!$A:$A,0)))</f>
        <v/>
      </c>
      <c r="J2618" s="4"/>
      <c r="K2618" s="4"/>
      <c r="L2618" s="4"/>
      <c r="M2618" s="4"/>
      <c r="N2618" s="4"/>
      <c r="O2618" s="4"/>
      <c r="P2618" s="4"/>
      <c r="Q2618" s="4"/>
    </row>
    <row r="2619">
      <c r="A2619" s="5">
        <v>2618.0</v>
      </c>
      <c r="B2619" s="5" t="s">
        <v>3155</v>
      </c>
      <c r="C2619" s="5" t="s">
        <v>115</v>
      </c>
      <c r="D2619" s="6">
        <f>IFERROR(__xludf.DUMMYFUNCTION("SPLIT(MID(C2619,2,LEN(C2619)-2), "","")"),1272.0)</f>
        <v>1272</v>
      </c>
      <c r="E2619" s="7"/>
      <c r="F2619" s="7"/>
      <c r="G2619" s="2" t="str">
        <f t="array" ref="G2619">IF(ISBLANK(D2619), "", INDEX(Categories!$B:$B,MATCH(D2619,Categories!$A:$A,0)))</f>
        <v>Womens Apparel</v>
      </c>
      <c r="H2619" s="7" t="str">
        <f t="array" ref="H2619">IF(ISBLANK(E2619), "", INDEX(Categories!$B:$B,MATCH(E2619,Categories!$A:$A,0)))</f>
        <v/>
      </c>
      <c r="I2619" s="7" t="str">
        <f t="array" ref="I2619">IF(ISBLANK(F2619), "", INDEX(Categories!$B:$B,MATCH(F2619,Categories!$A:$A,0)))</f>
        <v/>
      </c>
      <c r="J2619" s="4"/>
      <c r="K2619" s="4"/>
      <c r="L2619" s="4"/>
      <c r="M2619" s="4"/>
      <c r="N2619" s="4"/>
      <c r="O2619" s="4"/>
      <c r="P2619" s="4"/>
      <c r="Q2619" s="4"/>
    </row>
    <row r="2620">
      <c r="A2620" s="5">
        <v>2619.0</v>
      </c>
      <c r="B2620" s="5" t="s">
        <v>3156</v>
      </c>
      <c r="C2620" s="5" t="s">
        <v>332</v>
      </c>
      <c r="D2620" s="6">
        <f>IFERROR(__xludf.DUMMYFUNCTION("SPLIT(MID(C2620,2,LEN(C2620)-2), "","")"),768.0)</f>
        <v>768</v>
      </c>
      <c r="E2620" s="7"/>
      <c r="F2620" s="7"/>
      <c r="G2620" s="2" t="str">
        <f t="array" ref="G2620">IF(ISBLANK(D2620), "", INDEX(Categories!$B:$B,MATCH(D2620,Categories!$A:$A,0)))</f>
        <v>Thrift Stores</v>
      </c>
      <c r="H2620" s="7" t="str">
        <f t="array" ref="H2620">IF(ISBLANK(E2620), "", INDEX(Categories!$B:$B,MATCH(E2620,Categories!$A:$A,0)))</f>
        <v/>
      </c>
      <c r="I2620" s="7" t="str">
        <f t="array" ref="I2620">IF(ISBLANK(F2620), "", INDEX(Categories!$B:$B,MATCH(F2620,Categories!$A:$A,0)))</f>
        <v/>
      </c>
      <c r="J2620" s="4"/>
      <c r="K2620" s="4"/>
      <c r="L2620" s="4"/>
      <c r="M2620" s="4"/>
      <c r="N2620" s="4"/>
      <c r="O2620" s="4"/>
      <c r="P2620" s="4"/>
      <c r="Q2620" s="4"/>
    </row>
    <row r="2621">
      <c r="A2621" s="5">
        <v>2620.0</v>
      </c>
      <c r="B2621" s="5" t="s">
        <v>3157</v>
      </c>
      <c r="C2621" s="5" t="s">
        <v>65</v>
      </c>
      <c r="D2621" s="6">
        <f>IFERROR(__xludf.DUMMYFUNCTION("SPLIT(MID(C2621,2,LEN(C2621)-2), "","")"),983.0)</f>
        <v>983</v>
      </c>
      <c r="E2621" s="7"/>
      <c r="F2621" s="7"/>
      <c r="G2621" s="2" t="str">
        <f t="array" ref="G2621">IF(ISBLANK(D2621), "", INDEX(Categories!$B:$B,MATCH(D2621,Categories!$A:$A,0)))</f>
        <v>Mobile Telephone Service</v>
      </c>
      <c r="H2621" s="7" t="str">
        <f t="array" ref="H2621">IF(ISBLANK(E2621), "", INDEX(Categories!$B:$B,MATCH(E2621,Categories!$A:$A,0)))</f>
        <v/>
      </c>
      <c r="I2621" s="7" t="str">
        <f t="array" ref="I2621">IF(ISBLANK(F2621), "", INDEX(Categories!$B:$B,MATCH(F2621,Categories!$A:$A,0)))</f>
        <v/>
      </c>
      <c r="J2621" s="4"/>
      <c r="K2621" s="4"/>
      <c r="L2621" s="4"/>
      <c r="M2621" s="4"/>
      <c r="N2621" s="4"/>
      <c r="O2621" s="4"/>
      <c r="P2621" s="4"/>
      <c r="Q2621" s="4"/>
    </row>
    <row r="2622">
      <c r="A2622" s="5">
        <v>2621.0</v>
      </c>
      <c r="B2622" s="5" t="s">
        <v>3158</v>
      </c>
      <c r="C2622" s="5" t="s">
        <v>562</v>
      </c>
      <c r="D2622" s="6">
        <f>IFERROR(__xludf.DUMMYFUNCTION("SPLIT(MID(C2622,2,LEN(C2622)-2), "","")"),162.0)</f>
        <v>162</v>
      </c>
      <c r="E2622" s="7"/>
      <c r="F2622" s="7"/>
      <c r="G2622" s="2" t="str">
        <f t="array" ref="G2622">IF(ISBLANK(D2622), "", INDEX(Categories!$B:$B,MATCH(D2622,Categories!$A:$A,0)))</f>
        <v>Hotels, Motels, &amp; Lodging</v>
      </c>
      <c r="H2622" s="7" t="str">
        <f t="array" ref="H2622">IF(ISBLANK(E2622), "", INDEX(Categories!$B:$B,MATCH(E2622,Categories!$A:$A,0)))</f>
        <v/>
      </c>
      <c r="I2622" s="7" t="str">
        <f t="array" ref="I2622">IF(ISBLANK(F2622), "", INDEX(Categories!$B:$B,MATCH(F2622,Categories!$A:$A,0)))</f>
        <v/>
      </c>
      <c r="J2622" s="4"/>
      <c r="K2622" s="4"/>
      <c r="L2622" s="4"/>
      <c r="M2622" s="4"/>
      <c r="N2622" s="4"/>
      <c r="O2622" s="4"/>
      <c r="P2622" s="4"/>
      <c r="Q2622" s="4"/>
    </row>
    <row r="2623">
      <c r="A2623" s="5">
        <v>2622.0</v>
      </c>
      <c r="B2623" s="5" t="s">
        <v>3159</v>
      </c>
      <c r="C2623" s="5" t="s">
        <v>3160</v>
      </c>
      <c r="D2623" s="6">
        <f>IFERROR(__xludf.DUMMYFUNCTION("SPLIT(MID(C2623,2,LEN(C2623)-2), "","")"),1802.0)</f>
        <v>1802</v>
      </c>
      <c r="E2623" s="7"/>
      <c r="F2623" s="7"/>
      <c r="G2623" s="2" t="str">
        <f t="array" ref="G2623">IF(ISBLANK(D2623), "", INDEX(Categories!$B:$B,MATCH(D2623,Categories!$A:$A,0)))</f>
        <v>Legal Consultants</v>
      </c>
      <c r="H2623" s="7" t="str">
        <f t="array" ref="H2623">IF(ISBLANK(E2623), "", INDEX(Categories!$B:$B,MATCH(E2623,Categories!$A:$A,0)))</f>
        <v/>
      </c>
      <c r="I2623" s="7" t="str">
        <f t="array" ref="I2623">IF(ISBLANK(F2623), "", INDEX(Categories!$B:$B,MATCH(F2623,Categories!$A:$A,0)))</f>
        <v/>
      </c>
      <c r="J2623" s="4"/>
      <c r="K2623" s="4"/>
      <c r="L2623" s="4"/>
      <c r="M2623" s="4"/>
      <c r="N2623" s="4"/>
      <c r="O2623" s="4"/>
      <c r="P2623" s="4"/>
      <c r="Q2623" s="4"/>
    </row>
    <row r="2624">
      <c r="A2624" s="5">
        <v>2623.0</v>
      </c>
      <c r="B2624" s="5" t="s">
        <v>3161</v>
      </c>
      <c r="C2624" s="5" t="s">
        <v>3162</v>
      </c>
      <c r="D2624" s="6">
        <f>IFERROR(__xludf.DUMMYFUNCTION("SPLIT(MID(C2624,2,LEN(C2624)-2), "","")"),208.0)</f>
        <v>208</v>
      </c>
      <c r="E2624" s="7"/>
      <c r="F2624" s="7"/>
      <c r="G2624" s="2" t="str">
        <f t="array" ref="G2624">IF(ISBLANK(D2624), "", INDEX(Categories!$B:$B,MATCH(D2624,Categories!$A:$A,0)))</f>
        <v>Landscape Equipment &amp; Supplies</v>
      </c>
      <c r="H2624" s="7" t="str">
        <f t="array" ref="H2624">IF(ISBLANK(E2624), "", INDEX(Categories!$B:$B,MATCH(E2624,Categories!$A:$A,0)))</f>
        <v/>
      </c>
      <c r="I2624" s="7" t="str">
        <f t="array" ref="I2624">IF(ISBLANK(F2624), "", INDEX(Categories!$B:$B,MATCH(F2624,Categories!$A:$A,0)))</f>
        <v/>
      </c>
      <c r="J2624" s="4"/>
      <c r="K2624" s="4"/>
      <c r="L2624" s="4"/>
      <c r="M2624" s="4"/>
      <c r="N2624" s="4"/>
      <c r="O2624" s="4"/>
      <c r="P2624" s="4"/>
      <c r="Q2624" s="4"/>
    </row>
    <row r="2625">
      <c r="A2625" s="5">
        <v>2624.0</v>
      </c>
      <c r="B2625" s="5" t="s">
        <v>3163</v>
      </c>
      <c r="C2625" s="5" t="s">
        <v>290</v>
      </c>
      <c r="D2625" s="6">
        <f>IFERROR(__xludf.DUMMYFUNCTION("SPLIT(MID(C2625,2,LEN(C2625)-2), "","")"),2035.0)</f>
        <v>2035</v>
      </c>
      <c r="E2625" s="7"/>
      <c r="F2625" s="7"/>
      <c r="G2625" s="2" t="str">
        <f t="array" ref="G2625">IF(ISBLANK(D2625), "", INDEX(Categories!$B:$B,MATCH(D2625,Categories!$A:$A,0)))</f>
        <v>Home Health Care Services</v>
      </c>
      <c r="H2625" s="7" t="str">
        <f t="array" ref="H2625">IF(ISBLANK(E2625), "", INDEX(Categories!$B:$B,MATCH(E2625,Categories!$A:$A,0)))</f>
        <v/>
      </c>
      <c r="I2625" s="7" t="str">
        <f t="array" ref="I2625">IF(ISBLANK(F2625), "", INDEX(Categories!$B:$B,MATCH(F2625,Categories!$A:$A,0)))</f>
        <v/>
      </c>
      <c r="J2625" s="4"/>
      <c r="K2625" s="4"/>
      <c r="L2625" s="4"/>
      <c r="M2625" s="4"/>
      <c r="N2625" s="4"/>
      <c r="O2625" s="4"/>
      <c r="P2625" s="4"/>
      <c r="Q2625" s="4"/>
    </row>
    <row r="2626">
      <c r="A2626" s="5">
        <v>2625.0</v>
      </c>
      <c r="B2626" s="5" t="s">
        <v>3164</v>
      </c>
      <c r="C2626" s="5" t="s">
        <v>619</v>
      </c>
      <c r="D2626" s="6">
        <f>IFERROR(__xludf.DUMMYFUNCTION("SPLIT(MID(C2626,2,LEN(C2626)-2), "","")"),2598.0)</f>
        <v>2598</v>
      </c>
      <c r="E2626" s="7"/>
      <c r="F2626" s="7"/>
      <c r="G2626" s="2" t="str">
        <f t="array" ref="G2626">IF(ISBLANK(D2626), "", INDEX(Categories!$B:$B,MATCH(D2626,Categories!$A:$A,0)))</f>
        <v>Fitness Centers</v>
      </c>
      <c r="H2626" s="7" t="str">
        <f t="array" ref="H2626">IF(ISBLANK(E2626), "", INDEX(Categories!$B:$B,MATCH(E2626,Categories!$A:$A,0)))</f>
        <v/>
      </c>
      <c r="I2626" s="7" t="str">
        <f t="array" ref="I2626">IF(ISBLANK(F2626), "", INDEX(Categories!$B:$B,MATCH(F2626,Categories!$A:$A,0)))</f>
        <v/>
      </c>
      <c r="J2626" s="4"/>
      <c r="K2626" s="4"/>
      <c r="L2626" s="4"/>
      <c r="M2626" s="4"/>
      <c r="N2626" s="4"/>
      <c r="O2626" s="4"/>
      <c r="P2626" s="4"/>
      <c r="Q2626" s="4"/>
    </row>
    <row r="2627">
      <c r="A2627" s="5">
        <v>2626.0</v>
      </c>
      <c r="B2627" s="5" t="s">
        <v>3165</v>
      </c>
      <c r="C2627" s="5" t="s">
        <v>619</v>
      </c>
      <c r="D2627" s="6">
        <f>IFERROR(__xludf.DUMMYFUNCTION("SPLIT(MID(C2627,2,LEN(C2627)-2), "","")"),2598.0)</f>
        <v>2598</v>
      </c>
      <c r="E2627" s="7"/>
      <c r="F2627" s="7"/>
      <c r="G2627" s="2" t="str">
        <f t="array" ref="G2627">IF(ISBLANK(D2627), "", INDEX(Categories!$B:$B,MATCH(D2627,Categories!$A:$A,0)))</f>
        <v>Fitness Centers</v>
      </c>
      <c r="H2627" s="7" t="str">
        <f t="array" ref="H2627">IF(ISBLANK(E2627), "", INDEX(Categories!$B:$B,MATCH(E2627,Categories!$A:$A,0)))</f>
        <v/>
      </c>
      <c r="I2627" s="7" t="str">
        <f t="array" ref="I2627">IF(ISBLANK(F2627), "", INDEX(Categories!$B:$B,MATCH(F2627,Categories!$A:$A,0)))</f>
        <v/>
      </c>
      <c r="J2627" s="4"/>
      <c r="K2627" s="4"/>
      <c r="L2627" s="4"/>
      <c r="M2627" s="4"/>
      <c r="N2627" s="4"/>
      <c r="O2627" s="4"/>
      <c r="P2627" s="4"/>
      <c r="Q2627" s="4"/>
    </row>
    <row r="2628">
      <c r="A2628" s="5">
        <v>2627.0</v>
      </c>
      <c r="B2628" s="5" t="s">
        <v>3166</v>
      </c>
      <c r="C2628" s="5" t="s">
        <v>619</v>
      </c>
      <c r="D2628" s="6">
        <f>IFERROR(__xludf.DUMMYFUNCTION("SPLIT(MID(C2628,2,LEN(C2628)-2), "","")"),2598.0)</f>
        <v>2598</v>
      </c>
      <c r="E2628" s="7"/>
      <c r="F2628" s="7"/>
      <c r="G2628" s="2" t="str">
        <f t="array" ref="G2628">IF(ISBLANK(D2628), "", INDEX(Categories!$B:$B,MATCH(D2628,Categories!$A:$A,0)))</f>
        <v>Fitness Centers</v>
      </c>
      <c r="H2628" s="7" t="str">
        <f t="array" ref="H2628">IF(ISBLANK(E2628), "", INDEX(Categories!$B:$B,MATCH(E2628,Categories!$A:$A,0)))</f>
        <v/>
      </c>
      <c r="I2628" s="7" t="str">
        <f t="array" ref="I2628">IF(ISBLANK(F2628), "", INDEX(Categories!$B:$B,MATCH(F2628,Categories!$A:$A,0)))</f>
        <v/>
      </c>
      <c r="J2628" s="4"/>
      <c r="K2628" s="4"/>
      <c r="L2628" s="4"/>
      <c r="M2628" s="4"/>
      <c r="N2628" s="4"/>
      <c r="O2628" s="4"/>
      <c r="P2628" s="4"/>
      <c r="Q2628" s="4"/>
    </row>
    <row r="2629">
      <c r="A2629" s="5">
        <v>2628.0</v>
      </c>
      <c r="B2629" s="5" t="s">
        <v>3167</v>
      </c>
      <c r="C2629" s="5" t="s">
        <v>619</v>
      </c>
      <c r="D2629" s="6">
        <f>IFERROR(__xludf.DUMMYFUNCTION("SPLIT(MID(C2629,2,LEN(C2629)-2), "","")"),2598.0)</f>
        <v>2598</v>
      </c>
      <c r="E2629" s="7"/>
      <c r="F2629" s="7"/>
      <c r="G2629" s="2" t="str">
        <f t="array" ref="G2629">IF(ISBLANK(D2629), "", INDEX(Categories!$B:$B,MATCH(D2629,Categories!$A:$A,0)))</f>
        <v>Fitness Centers</v>
      </c>
      <c r="H2629" s="7" t="str">
        <f t="array" ref="H2629">IF(ISBLANK(E2629), "", INDEX(Categories!$B:$B,MATCH(E2629,Categories!$A:$A,0)))</f>
        <v/>
      </c>
      <c r="I2629" s="7" t="str">
        <f t="array" ref="I2629">IF(ISBLANK(F2629), "", INDEX(Categories!$B:$B,MATCH(F2629,Categories!$A:$A,0)))</f>
        <v/>
      </c>
      <c r="J2629" s="4"/>
      <c r="K2629" s="4"/>
      <c r="L2629" s="4"/>
      <c r="M2629" s="4"/>
      <c r="N2629" s="4"/>
      <c r="O2629" s="4"/>
      <c r="P2629" s="4"/>
      <c r="Q2629" s="4"/>
    </row>
    <row r="2630">
      <c r="A2630" s="5">
        <v>2629.0</v>
      </c>
      <c r="B2630" s="5" t="s">
        <v>3168</v>
      </c>
      <c r="C2630" s="5" t="s">
        <v>619</v>
      </c>
      <c r="D2630" s="6">
        <f>IFERROR(__xludf.DUMMYFUNCTION("SPLIT(MID(C2630,2,LEN(C2630)-2), "","")"),2598.0)</f>
        <v>2598</v>
      </c>
      <c r="E2630" s="7"/>
      <c r="F2630" s="7"/>
      <c r="G2630" s="2" t="str">
        <f t="array" ref="G2630">IF(ISBLANK(D2630), "", INDEX(Categories!$B:$B,MATCH(D2630,Categories!$A:$A,0)))</f>
        <v>Fitness Centers</v>
      </c>
      <c r="H2630" s="7" t="str">
        <f t="array" ref="H2630">IF(ISBLANK(E2630), "", INDEX(Categories!$B:$B,MATCH(E2630,Categories!$A:$A,0)))</f>
        <v/>
      </c>
      <c r="I2630" s="7" t="str">
        <f t="array" ref="I2630">IF(ISBLANK(F2630), "", INDEX(Categories!$B:$B,MATCH(F2630,Categories!$A:$A,0)))</f>
        <v/>
      </c>
      <c r="J2630" s="4"/>
      <c r="K2630" s="4"/>
      <c r="L2630" s="4"/>
      <c r="M2630" s="4"/>
      <c r="N2630" s="4"/>
      <c r="O2630" s="4"/>
      <c r="P2630" s="4"/>
      <c r="Q2630" s="4"/>
    </row>
    <row r="2631">
      <c r="A2631" s="5">
        <v>2630.0</v>
      </c>
      <c r="B2631" s="5" t="s">
        <v>3169</v>
      </c>
      <c r="C2631" s="5" t="s">
        <v>62</v>
      </c>
      <c r="D2631" s="6">
        <f>IFERROR(__xludf.DUMMYFUNCTION("SPLIT(MID(C2631,2,LEN(C2631)-2), "","")"),242.0)</f>
        <v>242</v>
      </c>
      <c r="E2631" s="7"/>
      <c r="F2631" s="7"/>
      <c r="G2631" s="2" t="str">
        <f t="array" ref="G2631">IF(ISBLANK(D2631), "", INDEX(Categories!$B:$B,MATCH(D2631,Categories!$A:$A,0)))</f>
        <v>Restaurants Pizza</v>
      </c>
      <c r="H2631" s="7" t="str">
        <f t="array" ref="H2631">IF(ISBLANK(E2631), "", INDEX(Categories!$B:$B,MATCH(E2631,Categories!$A:$A,0)))</f>
        <v/>
      </c>
      <c r="I2631" s="7" t="str">
        <f t="array" ref="I2631">IF(ISBLANK(F2631), "", INDEX(Categories!$B:$B,MATCH(F2631,Categories!$A:$A,0)))</f>
        <v/>
      </c>
      <c r="J2631" s="4"/>
      <c r="K2631" s="4"/>
      <c r="L2631" s="4"/>
      <c r="M2631" s="4"/>
      <c r="N2631" s="4"/>
      <c r="O2631" s="4"/>
      <c r="P2631" s="4"/>
      <c r="Q2631" s="4"/>
    </row>
    <row r="2632">
      <c r="A2632" s="5">
        <v>2631.0</v>
      </c>
      <c r="B2632" s="5" t="s">
        <v>3170</v>
      </c>
      <c r="C2632" s="5" t="s">
        <v>212</v>
      </c>
      <c r="D2632" s="6">
        <f>IFERROR(__xludf.DUMMYFUNCTION("SPLIT(MID(C2632,2,LEN(C2632)-2), "","")"),446.0)</f>
        <v>446</v>
      </c>
      <c r="E2632" s="7"/>
      <c r="F2632" s="7"/>
      <c r="G2632" s="2" t="str">
        <f t="array" ref="G2632">IF(ISBLANK(D2632), "", INDEX(Categories!$B:$B,MATCH(D2632,Categories!$A:$A,0)))</f>
        <v>Beauty Salons</v>
      </c>
      <c r="H2632" s="7" t="str">
        <f t="array" ref="H2632">IF(ISBLANK(E2632), "", INDEX(Categories!$B:$B,MATCH(E2632,Categories!$A:$A,0)))</f>
        <v/>
      </c>
      <c r="I2632" s="7" t="str">
        <f t="array" ref="I2632">IF(ISBLANK(F2632), "", INDEX(Categories!$B:$B,MATCH(F2632,Categories!$A:$A,0)))</f>
        <v/>
      </c>
      <c r="J2632" s="4"/>
      <c r="K2632" s="4"/>
      <c r="L2632" s="4"/>
      <c r="M2632" s="4"/>
      <c r="N2632" s="4"/>
      <c r="O2632" s="4"/>
      <c r="P2632" s="4"/>
      <c r="Q2632" s="4"/>
    </row>
    <row r="2633">
      <c r="A2633" s="5">
        <v>2632.0</v>
      </c>
      <c r="B2633" s="5" t="s">
        <v>3171</v>
      </c>
      <c r="C2633" s="5" t="s">
        <v>65</v>
      </c>
      <c r="D2633" s="6">
        <f>IFERROR(__xludf.DUMMYFUNCTION("SPLIT(MID(C2633,2,LEN(C2633)-2), "","")"),983.0)</f>
        <v>983</v>
      </c>
      <c r="E2633" s="7"/>
      <c r="F2633" s="7"/>
      <c r="G2633" s="2" t="str">
        <f t="array" ref="G2633">IF(ISBLANK(D2633), "", INDEX(Categories!$B:$B,MATCH(D2633,Categories!$A:$A,0)))</f>
        <v>Mobile Telephone Service</v>
      </c>
      <c r="H2633" s="7" t="str">
        <f t="array" ref="H2633">IF(ISBLANK(E2633), "", INDEX(Categories!$B:$B,MATCH(E2633,Categories!$A:$A,0)))</f>
        <v/>
      </c>
      <c r="I2633" s="7" t="str">
        <f t="array" ref="I2633">IF(ISBLANK(F2633), "", INDEX(Categories!$B:$B,MATCH(F2633,Categories!$A:$A,0)))</f>
        <v/>
      </c>
      <c r="J2633" s="4"/>
      <c r="K2633" s="4"/>
      <c r="L2633" s="4"/>
      <c r="M2633" s="4"/>
      <c r="N2633" s="4"/>
      <c r="O2633" s="4"/>
      <c r="P2633" s="4"/>
      <c r="Q2633" s="4"/>
    </row>
    <row r="2634">
      <c r="A2634" s="5">
        <v>2633.0</v>
      </c>
      <c r="B2634" s="5" t="s">
        <v>3172</v>
      </c>
      <c r="C2634" s="5" t="s">
        <v>3173</v>
      </c>
      <c r="D2634" s="6">
        <f>IFERROR(__xludf.DUMMYFUNCTION("SPLIT(MID(C2634,2,LEN(C2634)-2), "","")"),817.0)</f>
        <v>817</v>
      </c>
      <c r="E2634" s="7"/>
      <c r="F2634" s="7"/>
      <c r="G2634" s="2" t="str">
        <f t="array" ref="G2634">IF(ISBLANK(D2634), "", INDEX(Categories!$B:$B,MATCH(D2634,Categories!$A:$A,0)))</f>
        <v>Fire &amp; Water - Damage &amp; Restoration</v>
      </c>
      <c r="H2634" s="7" t="str">
        <f t="array" ref="H2634">IF(ISBLANK(E2634), "", INDEX(Categories!$B:$B,MATCH(E2634,Categories!$A:$A,0)))</f>
        <v/>
      </c>
      <c r="I2634" s="7" t="str">
        <f t="array" ref="I2634">IF(ISBLANK(F2634), "", INDEX(Categories!$B:$B,MATCH(F2634,Categories!$A:$A,0)))</f>
        <v/>
      </c>
      <c r="J2634" s="4"/>
      <c r="K2634" s="4"/>
      <c r="L2634" s="4"/>
      <c r="M2634" s="4"/>
      <c r="N2634" s="4"/>
      <c r="O2634" s="4"/>
      <c r="P2634" s="4"/>
      <c r="Q2634" s="4"/>
    </row>
    <row r="2635">
      <c r="A2635" s="5">
        <v>2634.0</v>
      </c>
      <c r="B2635" s="5" t="s">
        <v>3174</v>
      </c>
      <c r="C2635" s="5" t="s">
        <v>3175</v>
      </c>
      <c r="D2635" s="6">
        <f>IFERROR(__xludf.DUMMYFUNCTION("SPLIT(MID(C2635,2,LEN(C2635)-2), "","")"),207.0)</f>
        <v>207</v>
      </c>
      <c r="E2635" s="7"/>
      <c r="F2635" s="7"/>
      <c r="G2635" s="2" t="str">
        <f t="array" ref="G2635">IF(ISBLANK(D2635), "", INDEX(Categories!$B:$B,MATCH(D2635,Categories!$A:$A,0)))</f>
        <v>Insecticides</v>
      </c>
      <c r="H2635" s="7" t="str">
        <f t="array" ref="H2635">IF(ISBLANK(E2635), "", INDEX(Categories!$B:$B,MATCH(E2635,Categories!$A:$A,0)))</f>
        <v/>
      </c>
      <c r="I2635" s="7" t="str">
        <f t="array" ref="I2635">IF(ISBLANK(F2635), "", INDEX(Categories!$B:$B,MATCH(F2635,Categories!$A:$A,0)))</f>
        <v/>
      </c>
      <c r="J2635" s="4"/>
      <c r="K2635" s="4"/>
      <c r="L2635" s="4"/>
      <c r="M2635" s="4"/>
      <c r="N2635" s="4"/>
      <c r="O2635" s="4"/>
      <c r="P2635" s="4"/>
      <c r="Q2635" s="4"/>
    </row>
    <row r="2636">
      <c r="A2636" s="5">
        <v>2635.0</v>
      </c>
      <c r="B2636" s="5" t="s">
        <v>3176</v>
      </c>
      <c r="C2636" s="5" t="s">
        <v>619</v>
      </c>
      <c r="D2636" s="6">
        <f>IFERROR(__xludf.DUMMYFUNCTION("SPLIT(MID(C2636,2,LEN(C2636)-2), "","")"),2598.0)</f>
        <v>2598</v>
      </c>
      <c r="E2636" s="7"/>
      <c r="F2636" s="7"/>
      <c r="G2636" s="2" t="str">
        <f t="array" ref="G2636">IF(ISBLANK(D2636), "", INDEX(Categories!$B:$B,MATCH(D2636,Categories!$A:$A,0)))</f>
        <v>Fitness Centers</v>
      </c>
      <c r="H2636" s="7" t="str">
        <f t="array" ref="H2636">IF(ISBLANK(E2636), "", INDEX(Categories!$B:$B,MATCH(E2636,Categories!$A:$A,0)))</f>
        <v/>
      </c>
      <c r="I2636" s="7" t="str">
        <f t="array" ref="I2636">IF(ISBLANK(F2636), "", INDEX(Categories!$B:$B,MATCH(F2636,Categories!$A:$A,0)))</f>
        <v/>
      </c>
      <c r="J2636" s="4"/>
      <c r="K2636" s="4"/>
      <c r="L2636" s="4"/>
      <c r="M2636" s="4"/>
      <c r="N2636" s="4"/>
      <c r="O2636" s="4"/>
      <c r="P2636" s="4"/>
      <c r="Q2636" s="4"/>
    </row>
    <row r="2637">
      <c r="A2637" s="5">
        <v>2636.0</v>
      </c>
      <c r="B2637" s="5" t="s">
        <v>3177</v>
      </c>
      <c r="C2637" s="5" t="s">
        <v>3178</v>
      </c>
      <c r="D2637" s="6">
        <f>IFERROR(__xludf.DUMMYFUNCTION("SPLIT(MID(C2637,2,LEN(C2637)-2), "","")"),570.0)</f>
        <v>570</v>
      </c>
      <c r="E2637" s="7"/>
      <c r="F2637" s="7"/>
      <c r="G2637" s="2" t="str">
        <f t="array" ref="G2637">IF(ISBLANK(D2637), "", INDEX(Categories!$B:$B,MATCH(D2637,Categories!$A:$A,0)))</f>
        <v>Painting Contractors Decorative &amp; Faux Finishes</v>
      </c>
      <c r="H2637" s="7" t="str">
        <f t="array" ref="H2637">IF(ISBLANK(E2637), "", INDEX(Categories!$B:$B,MATCH(E2637,Categories!$A:$A,0)))</f>
        <v/>
      </c>
      <c r="I2637" s="7" t="str">
        <f t="array" ref="I2637">IF(ISBLANK(F2637), "", INDEX(Categories!$B:$B,MATCH(F2637,Categories!$A:$A,0)))</f>
        <v/>
      </c>
      <c r="J2637" s="4"/>
      <c r="K2637" s="4"/>
      <c r="L2637" s="4"/>
      <c r="M2637" s="4"/>
      <c r="N2637" s="4"/>
      <c r="O2637" s="4"/>
      <c r="P2637" s="4"/>
      <c r="Q2637" s="4"/>
    </row>
    <row r="2638">
      <c r="A2638" s="5">
        <v>2637.0</v>
      </c>
      <c r="B2638" s="5" t="s">
        <v>3179</v>
      </c>
      <c r="C2638" s="5" t="s">
        <v>212</v>
      </c>
      <c r="D2638" s="6">
        <f>IFERROR(__xludf.DUMMYFUNCTION("SPLIT(MID(C2638,2,LEN(C2638)-2), "","")"),446.0)</f>
        <v>446</v>
      </c>
      <c r="E2638" s="7"/>
      <c r="F2638" s="7"/>
      <c r="G2638" s="2" t="str">
        <f t="array" ref="G2638">IF(ISBLANK(D2638), "", INDEX(Categories!$B:$B,MATCH(D2638,Categories!$A:$A,0)))</f>
        <v>Beauty Salons</v>
      </c>
      <c r="H2638" s="7" t="str">
        <f t="array" ref="H2638">IF(ISBLANK(E2638), "", INDEX(Categories!$B:$B,MATCH(E2638,Categories!$A:$A,0)))</f>
        <v/>
      </c>
      <c r="I2638" s="7" t="str">
        <f t="array" ref="I2638">IF(ISBLANK(F2638), "", INDEX(Categories!$B:$B,MATCH(F2638,Categories!$A:$A,0)))</f>
        <v/>
      </c>
      <c r="J2638" s="4"/>
      <c r="K2638" s="4"/>
      <c r="L2638" s="4"/>
      <c r="M2638" s="4"/>
      <c r="N2638" s="4"/>
      <c r="O2638" s="4"/>
      <c r="P2638" s="4"/>
      <c r="Q2638" s="4"/>
    </row>
    <row r="2639">
      <c r="A2639" s="5">
        <v>2638.0</v>
      </c>
      <c r="B2639" s="5" t="s">
        <v>3180</v>
      </c>
      <c r="C2639" s="5" t="s">
        <v>1006</v>
      </c>
      <c r="D2639" s="6">
        <f>IFERROR(__xludf.DUMMYFUNCTION("SPLIT(MID(C2639,2,LEN(C2639)-2), "","")"),1808.0)</f>
        <v>1808</v>
      </c>
      <c r="E2639" s="7"/>
      <c r="F2639" s="7"/>
      <c r="G2639" s="2" t="str">
        <f t="array" ref="G2639">IF(ISBLANK(D2639), "", INDEX(Categories!$B:$B,MATCH(D2639,Categories!$A:$A,0)))</f>
        <v>Coffee Houses</v>
      </c>
      <c r="H2639" s="7" t="str">
        <f t="array" ref="H2639">IF(ISBLANK(E2639), "", INDEX(Categories!$B:$B,MATCH(E2639,Categories!$A:$A,0)))</f>
        <v/>
      </c>
      <c r="I2639" s="7" t="str">
        <f t="array" ref="I2639">IF(ISBLANK(F2639), "", INDEX(Categories!$B:$B,MATCH(F2639,Categories!$A:$A,0)))</f>
        <v/>
      </c>
      <c r="J2639" s="4"/>
      <c r="K2639" s="4"/>
      <c r="L2639" s="4"/>
      <c r="M2639" s="4"/>
      <c r="N2639" s="4"/>
      <c r="O2639" s="4"/>
      <c r="P2639" s="4"/>
      <c r="Q2639" s="4"/>
    </row>
    <row r="2640">
      <c r="A2640" s="5">
        <v>2639.0</v>
      </c>
      <c r="B2640" s="5" t="s">
        <v>3181</v>
      </c>
      <c r="C2640" s="5" t="s">
        <v>3182</v>
      </c>
      <c r="D2640" s="6">
        <f>IFERROR(__xludf.DUMMYFUNCTION("SPLIT(MID(C2640,2,LEN(C2640)-2), "","")"),706.0)</f>
        <v>706</v>
      </c>
      <c r="E2640" s="7"/>
      <c r="F2640" s="7"/>
      <c r="G2640" s="2" t="str">
        <f t="array" ref="G2640">IF(ISBLANK(D2640), "", INDEX(Categories!$B:$B,MATCH(D2640,Categories!$A:$A,0)))</f>
        <v>Massage</v>
      </c>
      <c r="H2640" s="7" t="str">
        <f t="array" ref="H2640">IF(ISBLANK(E2640), "", INDEX(Categories!$B:$B,MATCH(E2640,Categories!$A:$A,0)))</f>
        <v/>
      </c>
      <c r="I2640" s="7" t="str">
        <f t="array" ref="I2640">IF(ISBLANK(F2640), "", INDEX(Categories!$B:$B,MATCH(F2640,Categories!$A:$A,0)))</f>
        <v/>
      </c>
      <c r="J2640" s="4"/>
      <c r="K2640" s="4"/>
      <c r="L2640" s="4"/>
      <c r="M2640" s="4"/>
      <c r="N2640" s="4"/>
      <c r="O2640" s="4"/>
      <c r="P2640" s="4"/>
      <c r="Q2640" s="4"/>
    </row>
    <row r="2641">
      <c r="A2641" s="5">
        <v>2640.0</v>
      </c>
      <c r="B2641" s="5" t="s">
        <v>3183</v>
      </c>
      <c r="C2641" s="5" t="s">
        <v>3178</v>
      </c>
      <c r="D2641" s="6">
        <f>IFERROR(__xludf.DUMMYFUNCTION("SPLIT(MID(C2641,2,LEN(C2641)-2), "","")"),570.0)</f>
        <v>570</v>
      </c>
      <c r="E2641" s="7"/>
      <c r="F2641" s="7"/>
      <c r="G2641" s="2" t="str">
        <f t="array" ref="G2641">IF(ISBLANK(D2641), "", INDEX(Categories!$B:$B,MATCH(D2641,Categories!$A:$A,0)))</f>
        <v>Painting Contractors Decorative &amp; Faux Finishes</v>
      </c>
      <c r="H2641" s="7" t="str">
        <f t="array" ref="H2641">IF(ISBLANK(E2641), "", INDEX(Categories!$B:$B,MATCH(E2641,Categories!$A:$A,0)))</f>
        <v/>
      </c>
      <c r="I2641" s="7" t="str">
        <f t="array" ref="I2641">IF(ISBLANK(F2641), "", INDEX(Categories!$B:$B,MATCH(F2641,Categories!$A:$A,0)))</f>
        <v/>
      </c>
      <c r="J2641" s="4"/>
      <c r="K2641" s="4"/>
      <c r="L2641" s="4"/>
      <c r="M2641" s="4"/>
      <c r="N2641" s="4"/>
      <c r="O2641" s="4"/>
      <c r="P2641" s="4"/>
      <c r="Q2641" s="4"/>
    </row>
    <row r="2642">
      <c r="A2642" s="5">
        <v>2641.0</v>
      </c>
      <c r="B2642" s="5" t="s">
        <v>3184</v>
      </c>
      <c r="C2642" s="5" t="s">
        <v>801</v>
      </c>
      <c r="D2642" s="6">
        <f>IFERROR(__xludf.DUMMYFUNCTION("SPLIT(MID(C2642,2,LEN(C2642)-2), "","")"),1886.0)</f>
        <v>1886</v>
      </c>
      <c r="E2642" s="7"/>
      <c r="F2642" s="7"/>
      <c r="G2642" s="2" t="str">
        <f t="array" ref="G2642">IF(ISBLANK(D2642), "", INDEX(Categories!$B:$B,MATCH(D2642,Categories!$A:$A,0)))</f>
        <v>Pet Shops</v>
      </c>
      <c r="H2642" s="7" t="str">
        <f t="array" ref="H2642">IF(ISBLANK(E2642), "", INDEX(Categories!$B:$B,MATCH(E2642,Categories!$A:$A,0)))</f>
        <v/>
      </c>
      <c r="I2642" s="7" t="str">
        <f t="array" ref="I2642">IF(ISBLANK(F2642), "", INDEX(Categories!$B:$B,MATCH(F2642,Categories!$A:$A,0)))</f>
        <v/>
      </c>
      <c r="J2642" s="4"/>
      <c r="K2642" s="4"/>
      <c r="L2642" s="4"/>
      <c r="M2642" s="4"/>
      <c r="N2642" s="4"/>
      <c r="O2642" s="4"/>
      <c r="P2642" s="4"/>
      <c r="Q2642" s="4"/>
    </row>
    <row r="2643">
      <c r="A2643" s="5">
        <v>2642.0</v>
      </c>
      <c r="B2643" s="5" t="s">
        <v>3185</v>
      </c>
      <c r="C2643" s="5" t="s">
        <v>34</v>
      </c>
      <c r="D2643" s="6">
        <f>IFERROR(__xludf.DUMMYFUNCTION("SPLIT(MID(C2643,2,LEN(C2643)-2), "","")"),228.0)</f>
        <v>228</v>
      </c>
      <c r="E2643" s="7"/>
      <c r="F2643" s="7"/>
      <c r="G2643" s="2" t="str">
        <f t="array" ref="G2643">IF(ISBLANK(D2643), "", INDEX(Categories!$B:$B,MATCH(D2643,Categories!$A:$A,0)))</f>
        <v>Restaurants</v>
      </c>
      <c r="H2643" s="7" t="str">
        <f t="array" ref="H2643">IF(ISBLANK(E2643), "", INDEX(Categories!$B:$B,MATCH(E2643,Categories!$A:$A,0)))</f>
        <v/>
      </c>
      <c r="I2643" s="7" t="str">
        <f t="array" ref="I2643">IF(ISBLANK(F2643), "", INDEX(Categories!$B:$B,MATCH(F2643,Categories!$A:$A,0)))</f>
        <v/>
      </c>
      <c r="J2643" s="4"/>
      <c r="K2643" s="4"/>
      <c r="L2643" s="4"/>
      <c r="M2643" s="4"/>
      <c r="N2643" s="4"/>
      <c r="O2643" s="4"/>
      <c r="P2643" s="4"/>
      <c r="Q2643" s="4"/>
    </row>
    <row r="2644">
      <c r="A2644" s="5">
        <v>2643.0</v>
      </c>
      <c r="B2644" s="5" t="s">
        <v>3186</v>
      </c>
      <c r="C2644" s="5" t="s">
        <v>619</v>
      </c>
      <c r="D2644" s="6">
        <f>IFERROR(__xludf.DUMMYFUNCTION("SPLIT(MID(C2644,2,LEN(C2644)-2), "","")"),2598.0)</f>
        <v>2598</v>
      </c>
      <c r="E2644" s="7"/>
      <c r="F2644" s="7"/>
      <c r="G2644" s="2" t="str">
        <f t="array" ref="G2644">IF(ISBLANK(D2644), "", INDEX(Categories!$B:$B,MATCH(D2644,Categories!$A:$A,0)))</f>
        <v>Fitness Centers</v>
      </c>
      <c r="H2644" s="7" t="str">
        <f t="array" ref="H2644">IF(ISBLANK(E2644), "", INDEX(Categories!$B:$B,MATCH(E2644,Categories!$A:$A,0)))</f>
        <v/>
      </c>
      <c r="I2644" s="7" t="str">
        <f t="array" ref="I2644">IF(ISBLANK(F2644), "", INDEX(Categories!$B:$B,MATCH(F2644,Categories!$A:$A,0)))</f>
        <v/>
      </c>
      <c r="J2644" s="4"/>
      <c r="K2644" s="4"/>
      <c r="L2644" s="4"/>
      <c r="M2644" s="4"/>
      <c r="N2644" s="4"/>
      <c r="O2644" s="4"/>
      <c r="P2644" s="4"/>
      <c r="Q2644" s="4"/>
    </row>
    <row r="2645">
      <c r="A2645" s="5">
        <v>2644.0</v>
      </c>
      <c r="B2645" s="5" t="s">
        <v>3187</v>
      </c>
      <c r="C2645" s="5" t="s">
        <v>3188</v>
      </c>
      <c r="D2645" s="6">
        <f>IFERROR(__xludf.DUMMYFUNCTION("SPLIT(MID(C2645,2,LEN(C2645)-2), "","")"),356.0)</f>
        <v>356</v>
      </c>
      <c r="E2645" s="7"/>
      <c r="F2645" s="7"/>
      <c r="G2645" s="2" t="str">
        <f t="array" ref="G2645">IF(ISBLANK(D2645), "", INDEX(Categories!$B:$B,MATCH(D2645,Categories!$A:$A,0)))</f>
        <v>Schools Academic Secondary &amp; Elementary</v>
      </c>
      <c r="H2645" s="7" t="str">
        <f t="array" ref="H2645">IF(ISBLANK(E2645), "", INDEX(Categories!$B:$B,MATCH(E2645,Categories!$A:$A,0)))</f>
        <v/>
      </c>
      <c r="I2645" s="7" t="str">
        <f t="array" ref="I2645">IF(ISBLANK(F2645), "", INDEX(Categories!$B:$B,MATCH(F2645,Categories!$A:$A,0)))</f>
        <v/>
      </c>
      <c r="J2645" s="4"/>
      <c r="K2645" s="4"/>
      <c r="L2645" s="4"/>
      <c r="M2645" s="4"/>
      <c r="N2645" s="4"/>
      <c r="O2645" s="4"/>
      <c r="P2645" s="4"/>
      <c r="Q2645" s="4"/>
    </row>
    <row r="2646">
      <c r="A2646" s="5">
        <v>2645.0</v>
      </c>
      <c r="B2646" s="5" t="s">
        <v>3189</v>
      </c>
      <c r="C2646" s="5" t="s">
        <v>47</v>
      </c>
      <c r="D2646" s="6">
        <f>IFERROR(__xludf.DUMMYFUNCTION("SPLIT(MID(C2646,2,LEN(C2646)-2), "","")"),546.0)</f>
        <v>546</v>
      </c>
      <c r="E2646" s="7"/>
      <c r="F2646" s="7"/>
      <c r="G2646" s="2" t="str">
        <f t="array" ref="G2646">IF(ISBLANK(D2646), "", INDEX(Categories!$B:$B,MATCH(D2646,Categories!$A:$A,0)))</f>
        <v>Cosmetics &amp; Perfumes Retail</v>
      </c>
      <c r="H2646" s="7" t="str">
        <f t="array" ref="H2646">IF(ISBLANK(E2646), "", INDEX(Categories!$B:$B,MATCH(E2646,Categories!$A:$A,0)))</f>
        <v/>
      </c>
      <c r="I2646" s="7" t="str">
        <f t="array" ref="I2646">IF(ISBLANK(F2646), "", INDEX(Categories!$B:$B,MATCH(F2646,Categories!$A:$A,0)))</f>
        <v/>
      </c>
      <c r="J2646" s="4"/>
      <c r="K2646" s="4"/>
      <c r="L2646" s="4"/>
      <c r="M2646" s="4"/>
      <c r="N2646" s="4"/>
      <c r="O2646" s="4"/>
      <c r="P2646" s="4"/>
      <c r="Q2646" s="4"/>
    </row>
    <row r="2647">
      <c r="A2647" s="5">
        <v>2646.0</v>
      </c>
      <c r="B2647" s="5" t="s">
        <v>3190</v>
      </c>
      <c r="C2647" s="5" t="s">
        <v>3191</v>
      </c>
      <c r="D2647" s="6">
        <f>IFERROR(__xludf.DUMMYFUNCTION("SPLIT(MID(C2647,2,LEN(C2647)-2), "","")"),1118.0)</f>
        <v>1118</v>
      </c>
      <c r="E2647" s="7"/>
      <c r="F2647" s="7"/>
      <c r="G2647" s="2" t="str">
        <f t="array" ref="G2647">IF(ISBLANK(D2647), "", INDEX(Categories!$B:$B,MATCH(D2647,Categories!$A:$A,0)))</f>
        <v>Liquor Stores Retail</v>
      </c>
      <c r="H2647" s="7" t="str">
        <f t="array" ref="H2647">IF(ISBLANK(E2647), "", INDEX(Categories!$B:$B,MATCH(E2647,Categories!$A:$A,0)))</f>
        <v/>
      </c>
      <c r="I2647" s="7" t="str">
        <f t="array" ref="I2647">IF(ISBLANK(F2647), "", INDEX(Categories!$B:$B,MATCH(F2647,Categories!$A:$A,0)))</f>
        <v/>
      </c>
      <c r="J2647" s="4"/>
      <c r="K2647" s="4"/>
      <c r="L2647" s="4"/>
      <c r="M2647" s="4"/>
      <c r="N2647" s="4"/>
      <c r="O2647" s="4"/>
      <c r="P2647" s="4"/>
      <c r="Q2647" s="4"/>
    </row>
    <row r="2648">
      <c r="A2648" s="5">
        <v>2647.0</v>
      </c>
      <c r="B2648" s="5" t="s">
        <v>3192</v>
      </c>
      <c r="C2648" s="5" t="s">
        <v>364</v>
      </c>
      <c r="D2648" s="6">
        <f>IFERROR(__xludf.DUMMYFUNCTION("SPLIT(MID(C2648,2,LEN(C2648)-2), "","")"),555.0)</f>
        <v>555</v>
      </c>
      <c r="E2648" s="7"/>
      <c r="F2648" s="7"/>
      <c r="G2648" s="2" t="str">
        <f t="array" ref="G2648">IF(ISBLANK(D2648), "", INDEX(Categories!$B:$B,MATCH(D2648,Categories!$A:$A,0)))</f>
        <v>Dry Cleaners</v>
      </c>
      <c r="H2648" s="7" t="str">
        <f t="array" ref="H2648">IF(ISBLANK(E2648), "", INDEX(Categories!$B:$B,MATCH(E2648,Categories!$A:$A,0)))</f>
        <v/>
      </c>
      <c r="I2648" s="7" t="str">
        <f t="array" ref="I2648">IF(ISBLANK(F2648), "", INDEX(Categories!$B:$B,MATCH(F2648,Categories!$A:$A,0)))</f>
        <v/>
      </c>
      <c r="J2648" s="4"/>
      <c r="K2648" s="4"/>
      <c r="L2648" s="4"/>
      <c r="M2648" s="4"/>
      <c r="N2648" s="4"/>
      <c r="O2648" s="4"/>
      <c r="P2648" s="4"/>
      <c r="Q2648" s="4"/>
    </row>
    <row r="2649">
      <c r="A2649" s="5">
        <v>2648.0</v>
      </c>
      <c r="B2649" s="5" t="s">
        <v>3193</v>
      </c>
      <c r="C2649" s="5" t="s">
        <v>3194</v>
      </c>
      <c r="D2649" s="6">
        <f>IFERROR(__xludf.DUMMYFUNCTION("SPLIT(MID(C2649,2,LEN(C2649)-2), "","")"),1885.0)</f>
        <v>1885</v>
      </c>
      <c r="E2649" s="7"/>
      <c r="F2649" s="7"/>
      <c r="G2649" s="2" t="str">
        <f t="array" ref="G2649">IF(ISBLANK(D2649), "", INDEX(Categories!$B:$B,MATCH(D2649,Categories!$A:$A,0)))</f>
        <v>Pet Services</v>
      </c>
      <c r="H2649" s="7" t="str">
        <f t="array" ref="H2649">IF(ISBLANK(E2649), "", INDEX(Categories!$B:$B,MATCH(E2649,Categories!$A:$A,0)))</f>
        <v/>
      </c>
      <c r="I2649" s="7" t="str">
        <f t="array" ref="I2649">IF(ISBLANK(F2649), "", INDEX(Categories!$B:$B,MATCH(F2649,Categories!$A:$A,0)))</f>
        <v/>
      </c>
      <c r="J2649" s="4"/>
      <c r="K2649" s="4"/>
      <c r="L2649" s="4"/>
      <c r="M2649" s="4"/>
      <c r="N2649" s="4"/>
      <c r="O2649" s="4"/>
      <c r="P2649" s="4"/>
      <c r="Q2649" s="4"/>
    </row>
    <row r="2650">
      <c r="A2650" s="5">
        <v>2649.0</v>
      </c>
      <c r="B2650" s="5" t="s">
        <v>3195</v>
      </c>
      <c r="C2650" s="5" t="s">
        <v>3196</v>
      </c>
      <c r="D2650" s="6">
        <f>IFERROR(__xludf.DUMMYFUNCTION("SPLIT(MID(C2650,2,LEN(C2650)-2), "","")"),2625.0)</f>
        <v>2625</v>
      </c>
      <c r="E2650" s="7"/>
      <c r="F2650" s="7"/>
      <c r="G2650" s="2" t="str">
        <f t="array" ref="G2650">IF(ISBLANK(D2650), "", INDEX(Categories!$B:$B,MATCH(D2650,Categories!$A:$A,0)))</f>
        <v>Golf</v>
      </c>
      <c r="H2650" s="7" t="str">
        <f t="array" ref="H2650">IF(ISBLANK(E2650), "", INDEX(Categories!$B:$B,MATCH(E2650,Categories!$A:$A,0)))</f>
        <v/>
      </c>
      <c r="I2650" s="7" t="str">
        <f t="array" ref="I2650">IF(ISBLANK(F2650), "", INDEX(Categories!$B:$B,MATCH(F2650,Categories!$A:$A,0)))</f>
        <v/>
      </c>
      <c r="J2650" s="4"/>
      <c r="K2650" s="4"/>
      <c r="L2650" s="4"/>
      <c r="M2650" s="4"/>
      <c r="N2650" s="4"/>
      <c r="O2650" s="4"/>
      <c r="P2650" s="4"/>
      <c r="Q2650" s="4"/>
    </row>
    <row r="2651">
      <c r="A2651" s="5">
        <v>2650.0</v>
      </c>
      <c r="B2651" s="5" t="s">
        <v>3197</v>
      </c>
      <c r="C2651" s="5" t="s">
        <v>665</v>
      </c>
      <c r="D2651" s="6">
        <f>IFERROR(__xludf.DUMMYFUNCTION("SPLIT(MID(C2651,2,LEN(C2651)-2), "","")"),582.0)</f>
        <v>582</v>
      </c>
      <c r="E2651" s="7"/>
      <c r="F2651" s="7"/>
      <c r="G2651" s="2" t="str">
        <f t="array" ref="G2651">IF(ISBLANK(D2651), "", INDEX(Categories!$B:$B,MATCH(D2651,Categories!$A:$A,0)))</f>
        <v>Cookies &amp; Crackers</v>
      </c>
      <c r="H2651" s="7" t="str">
        <f t="array" ref="H2651">IF(ISBLANK(E2651), "", INDEX(Categories!$B:$B,MATCH(E2651,Categories!$A:$A,0)))</f>
        <v/>
      </c>
      <c r="I2651" s="7" t="str">
        <f t="array" ref="I2651">IF(ISBLANK(F2651), "", INDEX(Categories!$B:$B,MATCH(F2651,Categories!$A:$A,0)))</f>
        <v/>
      </c>
      <c r="J2651" s="4"/>
      <c r="K2651" s="4"/>
      <c r="L2651" s="4"/>
      <c r="M2651" s="4"/>
      <c r="N2651" s="4"/>
      <c r="O2651" s="4"/>
      <c r="P2651" s="4"/>
      <c r="Q2651" s="4"/>
    </row>
    <row r="2652">
      <c r="A2652" s="5">
        <v>2651.0</v>
      </c>
      <c r="B2652" s="5" t="s">
        <v>3198</v>
      </c>
      <c r="C2652" s="5" t="s">
        <v>3194</v>
      </c>
      <c r="D2652" s="6">
        <f>IFERROR(__xludf.DUMMYFUNCTION("SPLIT(MID(C2652,2,LEN(C2652)-2), "","")"),1885.0)</f>
        <v>1885</v>
      </c>
      <c r="E2652" s="7"/>
      <c r="F2652" s="7"/>
      <c r="G2652" s="2" t="str">
        <f t="array" ref="G2652">IF(ISBLANK(D2652), "", INDEX(Categories!$B:$B,MATCH(D2652,Categories!$A:$A,0)))</f>
        <v>Pet Services</v>
      </c>
      <c r="H2652" s="7" t="str">
        <f t="array" ref="H2652">IF(ISBLANK(E2652), "", INDEX(Categories!$B:$B,MATCH(E2652,Categories!$A:$A,0)))</f>
        <v/>
      </c>
      <c r="I2652" s="7" t="str">
        <f t="array" ref="I2652">IF(ISBLANK(F2652), "", INDEX(Categories!$B:$B,MATCH(F2652,Categories!$A:$A,0)))</f>
        <v/>
      </c>
      <c r="J2652" s="4"/>
      <c r="K2652" s="4"/>
      <c r="L2652" s="4"/>
      <c r="M2652" s="4"/>
      <c r="N2652" s="4"/>
      <c r="O2652" s="4"/>
      <c r="P2652" s="4"/>
      <c r="Q2652" s="4"/>
    </row>
    <row r="2653">
      <c r="A2653" s="5">
        <v>2652.0</v>
      </c>
      <c r="B2653" s="5" t="s">
        <v>3199</v>
      </c>
      <c r="C2653" s="5" t="s">
        <v>463</v>
      </c>
      <c r="D2653" s="6">
        <f>IFERROR(__xludf.DUMMYFUNCTION("SPLIT(MID(C2653,2,LEN(C2653)-2), "","")"),2604.0)</f>
        <v>2604</v>
      </c>
      <c r="E2653" s="7"/>
      <c r="F2653" s="7"/>
      <c r="G2653" s="2" t="str">
        <f t="array" ref="G2653">IF(ISBLANK(D2653), "", INDEX(Categories!$B:$B,MATCH(D2653,Categories!$A:$A,0)))</f>
        <v>Health Clubs</v>
      </c>
      <c r="H2653" s="7" t="str">
        <f t="array" ref="H2653">IF(ISBLANK(E2653), "", INDEX(Categories!$B:$B,MATCH(E2653,Categories!$A:$A,0)))</f>
        <v/>
      </c>
      <c r="I2653" s="7" t="str">
        <f t="array" ref="I2653">IF(ISBLANK(F2653), "", INDEX(Categories!$B:$B,MATCH(F2653,Categories!$A:$A,0)))</f>
        <v/>
      </c>
      <c r="J2653" s="4"/>
      <c r="K2653" s="4"/>
      <c r="L2653" s="4"/>
      <c r="M2653" s="4"/>
      <c r="N2653" s="4"/>
      <c r="O2653" s="4"/>
      <c r="P2653" s="4"/>
      <c r="Q2653" s="4"/>
    </row>
    <row r="2654">
      <c r="A2654" s="5">
        <v>2653.0</v>
      </c>
      <c r="B2654" s="5" t="s">
        <v>3200</v>
      </c>
      <c r="C2654" s="5" t="s">
        <v>96</v>
      </c>
      <c r="D2654" s="6">
        <f>IFERROR(__xludf.DUMMYFUNCTION("SPLIT(MID(C2654,2,LEN(C2654)-2), "","")"),572.0)</f>
        <v>572</v>
      </c>
      <c r="E2654" s="7"/>
      <c r="F2654" s="7"/>
      <c r="G2654" s="2" t="str">
        <f t="array" ref="G2654">IF(ISBLANK(D2654), "", INDEX(Categories!$B:$B,MATCH(D2654,Categories!$A:$A,0)))</f>
        <v>Groceries</v>
      </c>
      <c r="H2654" s="7" t="str">
        <f t="array" ref="H2654">IF(ISBLANK(E2654), "", INDEX(Categories!$B:$B,MATCH(E2654,Categories!$A:$A,0)))</f>
        <v/>
      </c>
      <c r="I2654" s="7" t="str">
        <f t="array" ref="I2654">IF(ISBLANK(F2654), "", INDEX(Categories!$B:$B,MATCH(F2654,Categories!$A:$A,0)))</f>
        <v/>
      </c>
      <c r="J2654" s="4"/>
      <c r="K2654" s="4"/>
      <c r="L2654" s="4"/>
      <c r="M2654" s="4"/>
      <c r="N2654" s="4"/>
      <c r="O2654" s="4"/>
      <c r="P2654" s="4"/>
      <c r="Q2654" s="4"/>
    </row>
    <row r="2655">
      <c r="A2655" s="5">
        <v>2654.0</v>
      </c>
      <c r="B2655" s="5" t="s">
        <v>3201</v>
      </c>
      <c r="C2655" s="5" t="s">
        <v>139</v>
      </c>
      <c r="D2655" s="6">
        <f>IFERROR(__xludf.DUMMYFUNCTION("SPLIT(MID(C2655,2,LEN(C2655)-2), "","")"),1617.0)</f>
        <v>1617</v>
      </c>
      <c r="E2655" s="7"/>
      <c r="F2655" s="7"/>
      <c r="G2655" s="2" t="str">
        <f t="array" ref="G2655">IF(ISBLANK(D2655), "", INDEX(Categories!$B:$B,MATCH(D2655,Categories!$A:$A,0)))</f>
        <v>Department Stores</v>
      </c>
      <c r="H2655" s="7" t="str">
        <f t="array" ref="H2655">IF(ISBLANK(E2655), "", INDEX(Categories!$B:$B,MATCH(E2655,Categories!$A:$A,0)))</f>
        <v/>
      </c>
      <c r="I2655" s="7" t="str">
        <f t="array" ref="I2655">IF(ISBLANK(F2655), "", INDEX(Categories!$B:$B,MATCH(F2655,Categories!$A:$A,0)))</f>
        <v/>
      </c>
      <c r="J2655" s="4"/>
      <c r="K2655" s="4"/>
      <c r="L2655" s="4"/>
      <c r="M2655" s="4"/>
      <c r="N2655" s="4"/>
      <c r="O2655" s="4"/>
      <c r="P2655" s="4"/>
      <c r="Q2655" s="4"/>
    </row>
    <row r="2656">
      <c r="A2656" s="5">
        <v>2655.0</v>
      </c>
      <c r="B2656" s="5" t="s">
        <v>3202</v>
      </c>
      <c r="C2656" s="5" t="s">
        <v>626</v>
      </c>
      <c r="D2656" s="6">
        <f>IFERROR(__xludf.DUMMYFUNCTION("SPLIT(MID(C2656,2,LEN(C2656)-2), "","")"),1247.0)</f>
        <v>1247</v>
      </c>
      <c r="E2656" s="7"/>
      <c r="F2656" s="7"/>
      <c r="G2656" s="2" t="str">
        <f t="array" ref="G2656">IF(ISBLANK(D2656), "", INDEX(Categories!$B:$B,MATCH(D2656,Categories!$A:$A,0)))</f>
        <v>Clothing Children &amp; Infant</v>
      </c>
      <c r="H2656" s="7" t="str">
        <f t="array" ref="H2656">IF(ISBLANK(E2656), "", INDEX(Categories!$B:$B,MATCH(E2656,Categories!$A:$A,0)))</f>
        <v/>
      </c>
      <c r="I2656" s="7" t="str">
        <f t="array" ref="I2656">IF(ISBLANK(F2656), "", INDEX(Categories!$B:$B,MATCH(F2656,Categories!$A:$A,0)))</f>
        <v/>
      </c>
      <c r="J2656" s="4"/>
      <c r="K2656" s="4"/>
      <c r="L2656" s="4"/>
      <c r="M2656" s="4"/>
      <c r="N2656" s="4"/>
      <c r="O2656" s="4"/>
      <c r="P2656" s="4"/>
      <c r="Q2656" s="4"/>
    </row>
    <row r="2657">
      <c r="A2657" s="5">
        <v>2656.0</v>
      </c>
      <c r="B2657" s="5" t="s">
        <v>3203</v>
      </c>
      <c r="C2657" s="5" t="s">
        <v>303</v>
      </c>
      <c r="D2657" s="6">
        <f>IFERROR(__xludf.DUMMYFUNCTION("SPLIT(MID(C2657,2,LEN(C2657)-2), "","")"),1241.0)</f>
        <v>1241</v>
      </c>
      <c r="E2657" s="7"/>
      <c r="F2657" s="7"/>
      <c r="G2657" s="2" t="str">
        <f t="array" ref="G2657">IF(ISBLANK(D2657), "", INDEX(Categories!$B:$B,MATCH(D2657,Categories!$A:$A,0)))</f>
        <v>Clothing &amp; Accessories</v>
      </c>
      <c r="H2657" s="7" t="str">
        <f t="array" ref="H2657">IF(ISBLANK(E2657), "", INDEX(Categories!$B:$B,MATCH(E2657,Categories!$A:$A,0)))</f>
        <v/>
      </c>
      <c r="I2657" s="7" t="str">
        <f t="array" ref="I2657">IF(ISBLANK(F2657), "", INDEX(Categories!$B:$B,MATCH(F2657,Categories!$A:$A,0)))</f>
        <v/>
      </c>
      <c r="J2657" s="4"/>
      <c r="K2657" s="4"/>
      <c r="L2657" s="4"/>
      <c r="M2657" s="4"/>
      <c r="N2657" s="4"/>
      <c r="O2657" s="4"/>
      <c r="P2657" s="4"/>
      <c r="Q2657" s="4"/>
    </row>
    <row r="2658">
      <c r="A2658" s="5">
        <v>2657.0</v>
      </c>
      <c r="B2658" s="5" t="s">
        <v>3204</v>
      </c>
      <c r="C2658" s="5" t="s">
        <v>34</v>
      </c>
      <c r="D2658" s="6">
        <f>IFERROR(__xludf.DUMMYFUNCTION("SPLIT(MID(C2658,2,LEN(C2658)-2), "","")"),228.0)</f>
        <v>228</v>
      </c>
      <c r="E2658" s="7"/>
      <c r="F2658" s="7"/>
      <c r="G2658" s="2" t="str">
        <f t="array" ref="G2658">IF(ISBLANK(D2658), "", INDEX(Categories!$B:$B,MATCH(D2658,Categories!$A:$A,0)))</f>
        <v>Restaurants</v>
      </c>
      <c r="H2658" s="7" t="str">
        <f t="array" ref="H2658">IF(ISBLANK(E2658), "", INDEX(Categories!$B:$B,MATCH(E2658,Categories!$A:$A,0)))</f>
        <v/>
      </c>
      <c r="I2658" s="7" t="str">
        <f t="array" ref="I2658">IF(ISBLANK(F2658), "", INDEX(Categories!$B:$B,MATCH(F2658,Categories!$A:$A,0)))</f>
        <v/>
      </c>
      <c r="J2658" s="4"/>
      <c r="K2658" s="4"/>
      <c r="L2658" s="4"/>
      <c r="M2658" s="4"/>
      <c r="N2658" s="4"/>
      <c r="O2658" s="4"/>
      <c r="P2658" s="4"/>
      <c r="Q2658" s="4"/>
    </row>
    <row r="2659">
      <c r="A2659" s="5">
        <v>2658.0</v>
      </c>
      <c r="B2659" s="5" t="s">
        <v>3205</v>
      </c>
      <c r="C2659" s="5" t="s">
        <v>1954</v>
      </c>
      <c r="D2659" s="6">
        <f>IFERROR(__xludf.DUMMYFUNCTION("SPLIT(MID(C2659,2,LEN(C2659)-2), "","")"),1265.0)</f>
        <v>1265</v>
      </c>
      <c r="E2659" s="7"/>
      <c r="F2659" s="7"/>
      <c r="G2659" s="2" t="str">
        <f t="array" ref="G2659">IF(ISBLANK(D2659), "", INDEX(Categories!$B:$B,MATCH(D2659,Categories!$A:$A,0)))</f>
        <v>Sportswear Retail</v>
      </c>
      <c r="H2659" s="7" t="str">
        <f t="array" ref="H2659">IF(ISBLANK(E2659), "", INDEX(Categories!$B:$B,MATCH(E2659,Categories!$A:$A,0)))</f>
        <v/>
      </c>
      <c r="I2659" s="7" t="str">
        <f t="array" ref="I2659">IF(ISBLANK(F2659), "", INDEX(Categories!$B:$B,MATCH(F2659,Categories!$A:$A,0)))</f>
        <v/>
      </c>
      <c r="J2659" s="4"/>
      <c r="K2659" s="4"/>
      <c r="L2659" s="4"/>
      <c r="M2659" s="4"/>
      <c r="N2659" s="4"/>
      <c r="O2659" s="4"/>
      <c r="P2659" s="4"/>
      <c r="Q2659" s="4"/>
    </row>
    <row r="2660">
      <c r="A2660" s="5">
        <v>2659.0</v>
      </c>
      <c r="B2660" s="5" t="s">
        <v>3206</v>
      </c>
      <c r="C2660" s="5" t="s">
        <v>1954</v>
      </c>
      <c r="D2660" s="6">
        <f>IFERROR(__xludf.DUMMYFUNCTION("SPLIT(MID(C2660,2,LEN(C2660)-2), "","")"),1265.0)</f>
        <v>1265</v>
      </c>
      <c r="E2660" s="7"/>
      <c r="F2660" s="7"/>
      <c r="G2660" s="2" t="str">
        <f t="array" ref="G2660">IF(ISBLANK(D2660), "", INDEX(Categories!$B:$B,MATCH(D2660,Categories!$A:$A,0)))</f>
        <v>Sportswear Retail</v>
      </c>
      <c r="H2660" s="7" t="str">
        <f t="array" ref="H2660">IF(ISBLANK(E2660), "", INDEX(Categories!$B:$B,MATCH(E2660,Categories!$A:$A,0)))</f>
        <v/>
      </c>
      <c r="I2660" s="7" t="str">
        <f t="array" ref="I2660">IF(ISBLANK(F2660), "", INDEX(Categories!$B:$B,MATCH(F2660,Categories!$A:$A,0)))</f>
        <v/>
      </c>
      <c r="J2660" s="4"/>
      <c r="K2660" s="4"/>
      <c r="L2660" s="4"/>
      <c r="M2660" s="4"/>
      <c r="N2660" s="4"/>
      <c r="O2660" s="4"/>
      <c r="P2660" s="4"/>
      <c r="Q2660" s="4"/>
    </row>
    <row r="2661">
      <c r="A2661" s="5">
        <v>2660.0</v>
      </c>
      <c r="B2661" s="5" t="s">
        <v>3207</v>
      </c>
      <c r="C2661" s="5" t="s">
        <v>760</v>
      </c>
      <c r="D2661" s="6">
        <f>IFERROR(__xludf.DUMMYFUNCTION("SPLIT(MID(C2661,2,LEN(C2661)-2), "","")"),1246.0)</f>
        <v>1246</v>
      </c>
      <c r="E2661" s="7"/>
      <c r="F2661" s="7"/>
      <c r="G2661" s="2" t="str">
        <f t="array" ref="G2661">IF(ISBLANK(D2661), "", INDEX(Categories!$B:$B,MATCH(D2661,Categories!$A:$A,0)))</f>
        <v>Clothing</v>
      </c>
      <c r="H2661" s="7" t="str">
        <f t="array" ref="H2661">IF(ISBLANK(E2661), "", INDEX(Categories!$B:$B,MATCH(E2661,Categories!$A:$A,0)))</f>
        <v/>
      </c>
      <c r="I2661" s="7" t="str">
        <f t="array" ref="I2661">IF(ISBLANK(F2661), "", INDEX(Categories!$B:$B,MATCH(F2661,Categories!$A:$A,0)))</f>
        <v/>
      </c>
      <c r="J2661" s="4"/>
      <c r="K2661" s="4"/>
      <c r="L2661" s="4"/>
      <c r="M2661" s="4"/>
      <c r="N2661" s="4"/>
      <c r="O2661" s="4"/>
      <c r="P2661" s="4"/>
      <c r="Q2661" s="4"/>
    </row>
    <row r="2662">
      <c r="A2662" s="5">
        <v>2661.0</v>
      </c>
      <c r="B2662" s="5" t="s">
        <v>3208</v>
      </c>
      <c r="C2662" s="5" t="s">
        <v>3209</v>
      </c>
      <c r="D2662" s="6">
        <f>IFERROR(__xludf.DUMMYFUNCTION("SPLIT(MID(C2662,2,LEN(C2662)-2), "","")"),34.0)</f>
        <v>34</v>
      </c>
      <c r="E2662" s="7"/>
      <c r="F2662" s="7"/>
      <c r="G2662" s="2" t="str">
        <f t="array" ref="G2662">IF(ISBLANK(D2662), "", INDEX(Categories!$B:$B,MATCH(D2662,Categories!$A:$A,0)))</f>
        <v>Furniture Used</v>
      </c>
      <c r="H2662" s="7" t="str">
        <f t="array" ref="H2662">IF(ISBLANK(E2662), "", INDEX(Categories!$B:$B,MATCH(E2662,Categories!$A:$A,0)))</f>
        <v/>
      </c>
      <c r="I2662" s="7" t="str">
        <f t="array" ref="I2662">IF(ISBLANK(F2662), "", INDEX(Categories!$B:$B,MATCH(F2662,Categories!$A:$A,0)))</f>
        <v/>
      </c>
      <c r="J2662" s="4"/>
      <c r="K2662" s="4"/>
      <c r="L2662" s="4"/>
      <c r="M2662" s="4"/>
      <c r="N2662" s="4"/>
      <c r="O2662" s="4"/>
      <c r="P2662" s="4"/>
      <c r="Q2662" s="4"/>
    </row>
    <row r="2663">
      <c r="A2663" s="5">
        <v>2662.0</v>
      </c>
      <c r="B2663" s="5" t="s">
        <v>3210</v>
      </c>
      <c r="C2663" s="5" t="s">
        <v>280</v>
      </c>
      <c r="D2663" s="6">
        <f>IFERROR(__xludf.DUMMYFUNCTION("SPLIT(MID(C2663,2,LEN(C2663)-2), "","")"),936.0)</f>
        <v>936</v>
      </c>
      <c r="E2663" s="7"/>
      <c r="F2663" s="7"/>
      <c r="G2663" s="2" t="str">
        <f t="array" ref="G2663">IF(ISBLANK(D2663), "", INDEX(Categories!$B:$B,MATCH(D2663,Categories!$A:$A,0)))</f>
        <v>Loans</v>
      </c>
      <c r="H2663" s="7" t="str">
        <f t="array" ref="H2663">IF(ISBLANK(E2663), "", INDEX(Categories!$B:$B,MATCH(E2663,Categories!$A:$A,0)))</f>
        <v/>
      </c>
      <c r="I2663" s="7" t="str">
        <f t="array" ref="I2663">IF(ISBLANK(F2663), "", INDEX(Categories!$B:$B,MATCH(F2663,Categories!$A:$A,0)))</f>
        <v/>
      </c>
      <c r="J2663" s="4"/>
      <c r="K2663" s="4"/>
      <c r="L2663" s="4"/>
      <c r="M2663" s="4"/>
      <c r="N2663" s="4"/>
      <c r="O2663" s="4"/>
      <c r="P2663" s="4"/>
      <c r="Q2663" s="4"/>
    </row>
    <row r="2664">
      <c r="A2664" s="5">
        <v>2663.0</v>
      </c>
      <c r="B2664" s="5" t="s">
        <v>3211</v>
      </c>
      <c r="C2664" s="5" t="s">
        <v>280</v>
      </c>
      <c r="D2664" s="6">
        <f>IFERROR(__xludf.DUMMYFUNCTION("SPLIT(MID(C2664,2,LEN(C2664)-2), "","")"),936.0)</f>
        <v>936</v>
      </c>
      <c r="E2664" s="7"/>
      <c r="F2664" s="7"/>
      <c r="G2664" s="2" t="str">
        <f t="array" ref="G2664">IF(ISBLANK(D2664), "", INDEX(Categories!$B:$B,MATCH(D2664,Categories!$A:$A,0)))</f>
        <v>Loans</v>
      </c>
      <c r="H2664" s="7" t="str">
        <f t="array" ref="H2664">IF(ISBLANK(E2664), "", INDEX(Categories!$B:$B,MATCH(E2664,Categories!$A:$A,0)))</f>
        <v/>
      </c>
      <c r="I2664" s="7" t="str">
        <f t="array" ref="I2664">IF(ISBLANK(F2664), "", INDEX(Categories!$B:$B,MATCH(F2664,Categories!$A:$A,0)))</f>
        <v/>
      </c>
      <c r="J2664" s="4"/>
      <c r="K2664" s="4"/>
      <c r="L2664" s="4"/>
      <c r="M2664" s="4"/>
      <c r="N2664" s="4"/>
      <c r="O2664" s="4"/>
      <c r="P2664" s="4"/>
      <c r="Q2664" s="4"/>
    </row>
    <row r="2665">
      <c r="A2665" s="5">
        <v>2664.0</v>
      </c>
      <c r="B2665" s="5" t="s">
        <v>3212</v>
      </c>
      <c r="C2665" s="5" t="s">
        <v>280</v>
      </c>
      <c r="D2665" s="6">
        <f>IFERROR(__xludf.DUMMYFUNCTION("SPLIT(MID(C2665,2,LEN(C2665)-2), "","")"),936.0)</f>
        <v>936</v>
      </c>
      <c r="E2665" s="7"/>
      <c r="F2665" s="7"/>
      <c r="G2665" s="2" t="str">
        <f t="array" ref="G2665">IF(ISBLANK(D2665), "", INDEX(Categories!$B:$B,MATCH(D2665,Categories!$A:$A,0)))</f>
        <v>Loans</v>
      </c>
      <c r="H2665" s="7" t="str">
        <f t="array" ref="H2665">IF(ISBLANK(E2665), "", INDEX(Categories!$B:$B,MATCH(E2665,Categories!$A:$A,0)))</f>
        <v/>
      </c>
      <c r="I2665" s="7" t="str">
        <f t="array" ref="I2665">IF(ISBLANK(F2665), "", INDEX(Categories!$B:$B,MATCH(F2665,Categories!$A:$A,0)))</f>
        <v/>
      </c>
      <c r="J2665" s="4"/>
      <c r="K2665" s="4"/>
      <c r="L2665" s="4"/>
      <c r="M2665" s="4"/>
      <c r="N2665" s="4"/>
      <c r="O2665" s="4"/>
      <c r="P2665" s="4"/>
      <c r="Q2665" s="4"/>
    </row>
    <row r="2666">
      <c r="A2666" s="5">
        <v>2665.0</v>
      </c>
      <c r="B2666" s="5" t="s">
        <v>3213</v>
      </c>
      <c r="C2666" s="5" t="s">
        <v>280</v>
      </c>
      <c r="D2666" s="6">
        <f>IFERROR(__xludf.DUMMYFUNCTION("SPLIT(MID(C2666,2,LEN(C2666)-2), "","")"),936.0)</f>
        <v>936</v>
      </c>
      <c r="E2666" s="7"/>
      <c r="F2666" s="7"/>
      <c r="G2666" s="2" t="str">
        <f t="array" ref="G2666">IF(ISBLANK(D2666), "", INDEX(Categories!$B:$B,MATCH(D2666,Categories!$A:$A,0)))</f>
        <v>Loans</v>
      </c>
      <c r="H2666" s="7" t="str">
        <f t="array" ref="H2666">IF(ISBLANK(E2666), "", INDEX(Categories!$B:$B,MATCH(E2666,Categories!$A:$A,0)))</f>
        <v/>
      </c>
      <c r="I2666" s="7" t="str">
        <f t="array" ref="I2666">IF(ISBLANK(F2666), "", INDEX(Categories!$B:$B,MATCH(F2666,Categories!$A:$A,0)))</f>
        <v/>
      </c>
      <c r="J2666" s="4"/>
      <c r="K2666" s="4"/>
      <c r="L2666" s="4"/>
      <c r="M2666" s="4"/>
      <c r="N2666" s="4"/>
      <c r="O2666" s="4"/>
      <c r="P2666" s="4"/>
      <c r="Q2666" s="4"/>
    </row>
    <row r="2667">
      <c r="A2667" s="5">
        <v>2666.0</v>
      </c>
      <c r="B2667" s="5" t="s">
        <v>3214</v>
      </c>
      <c r="C2667" s="5" t="s">
        <v>280</v>
      </c>
      <c r="D2667" s="6">
        <f>IFERROR(__xludf.DUMMYFUNCTION("SPLIT(MID(C2667,2,LEN(C2667)-2), "","")"),936.0)</f>
        <v>936</v>
      </c>
      <c r="E2667" s="7"/>
      <c r="F2667" s="7"/>
      <c r="G2667" s="2" t="str">
        <f t="array" ref="G2667">IF(ISBLANK(D2667), "", INDEX(Categories!$B:$B,MATCH(D2667,Categories!$A:$A,0)))</f>
        <v>Loans</v>
      </c>
      <c r="H2667" s="7" t="str">
        <f t="array" ref="H2667">IF(ISBLANK(E2667), "", INDEX(Categories!$B:$B,MATCH(E2667,Categories!$A:$A,0)))</f>
        <v/>
      </c>
      <c r="I2667" s="7" t="str">
        <f t="array" ref="I2667">IF(ISBLANK(F2667), "", INDEX(Categories!$B:$B,MATCH(F2667,Categories!$A:$A,0)))</f>
        <v/>
      </c>
      <c r="J2667" s="4"/>
      <c r="K2667" s="4"/>
      <c r="L2667" s="4"/>
      <c r="M2667" s="4"/>
      <c r="N2667" s="4"/>
      <c r="O2667" s="4"/>
      <c r="P2667" s="4"/>
      <c r="Q2667" s="4"/>
    </row>
    <row r="2668">
      <c r="A2668" s="5">
        <v>2667.0</v>
      </c>
      <c r="B2668" s="5" t="s">
        <v>3215</v>
      </c>
      <c r="C2668" s="5" t="s">
        <v>801</v>
      </c>
      <c r="D2668" s="6">
        <f>IFERROR(__xludf.DUMMYFUNCTION("SPLIT(MID(C2668,2,LEN(C2668)-2), "","")"),1886.0)</f>
        <v>1886</v>
      </c>
      <c r="E2668" s="7"/>
      <c r="F2668" s="7"/>
      <c r="G2668" s="2" t="str">
        <f t="array" ref="G2668">IF(ISBLANK(D2668), "", INDEX(Categories!$B:$B,MATCH(D2668,Categories!$A:$A,0)))</f>
        <v>Pet Shops</v>
      </c>
      <c r="H2668" s="7" t="str">
        <f t="array" ref="H2668">IF(ISBLANK(E2668), "", INDEX(Categories!$B:$B,MATCH(E2668,Categories!$A:$A,0)))</f>
        <v/>
      </c>
      <c r="I2668" s="7" t="str">
        <f t="array" ref="I2668">IF(ISBLANK(F2668), "", INDEX(Categories!$B:$B,MATCH(F2668,Categories!$A:$A,0)))</f>
        <v/>
      </c>
      <c r="J2668" s="4"/>
      <c r="K2668" s="4"/>
      <c r="L2668" s="4"/>
      <c r="M2668" s="4"/>
      <c r="N2668" s="4"/>
      <c r="O2668" s="4"/>
      <c r="P2668" s="4"/>
      <c r="Q2668" s="4"/>
    </row>
    <row r="2669">
      <c r="A2669" s="5">
        <v>2668.0</v>
      </c>
      <c r="B2669" s="5" t="s">
        <v>3216</v>
      </c>
      <c r="C2669" s="5" t="s">
        <v>801</v>
      </c>
      <c r="D2669" s="6">
        <f>IFERROR(__xludf.DUMMYFUNCTION("SPLIT(MID(C2669,2,LEN(C2669)-2), "","")"),1886.0)</f>
        <v>1886</v>
      </c>
      <c r="E2669" s="7"/>
      <c r="F2669" s="7"/>
      <c r="G2669" s="2" t="str">
        <f t="array" ref="G2669">IF(ISBLANK(D2669), "", INDEX(Categories!$B:$B,MATCH(D2669,Categories!$A:$A,0)))</f>
        <v>Pet Shops</v>
      </c>
      <c r="H2669" s="7" t="str">
        <f t="array" ref="H2669">IF(ISBLANK(E2669), "", INDEX(Categories!$B:$B,MATCH(E2669,Categories!$A:$A,0)))</f>
        <v/>
      </c>
      <c r="I2669" s="7" t="str">
        <f t="array" ref="I2669">IF(ISBLANK(F2669), "", INDEX(Categories!$B:$B,MATCH(F2669,Categories!$A:$A,0)))</f>
        <v/>
      </c>
      <c r="J2669" s="4"/>
      <c r="K2669" s="4"/>
      <c r="L2669" s="4"/>
      <c r="M2669" s="4"/>
      <c r="N2669" s="4"/>
      <c r="O2669" s="4"/>
      <c r="P2669" s="4"/>
      <c r="Q2669" s="4"/>
    </row>
    <row r="2670">
      <c r="A2670" s="5">
        <v>2669.0</v>
      </c>
      <c r="B2670" s="5" t="s">
        <v>3217</v>
      </c>
      <c r="C2670" s="5" t="s">
        <v>274</v>
      </c>
      <c r="D2670" s="6">
        <f>IFERROR(__xludf.DUMMYFUNCTION("SPLIT(MID(C2670,2,LEN(C2670)-2), "","")"),619.0)</f>
        <v>619</v>
      </c>
      <c r="E2670" s="7"/>
      <c r="F2670" s="7"/>
      <c r="G2670" s="2" t="str">
        <f t="array" ref="G2670">IF(ISBLANK(D2670), "", INDEX(Categories!$B:$B,MATCH(D2670,Categories!$A:$A,0)))</f>
        <v>Jewelry</v>
      </c>
      <c r="H2670" s="7" t="str">
        <f t="array" ref="H2670">IF(ISBLANK(E2670), "", INDEX(Categories!$B:$B,MATCH(E2670,Categories!$A:$A,0)))</f>
        <v/>
      </c>
      <c r="I2670" s="7" t="str">
        <f t="array" ref="I2670">IF(ISBLANK(F2670), "", INDEX(Categories!$B:$B,MATCH(F2670,Categories!$A:$A,0)))</f>
        <v/>
      </c>
      <c r="J2670" s="4"/>
      <c r="K2670" s="4"/>
      <c r="L2670" s="4"/>
      <c r="M2670" s="4"/>
      <c r="N2670" s="4"/>
      <c r="O2670" s="4"/>
      <c r="P2670" s="4"/>
      <c r="Q2670" s="4"/>
    </row>
    <row r="2671">
      <c r="A2671" s="5">
        <v>2670.0</v>
      </c>
      <c r="B2671" s="5" t="s">
        <v>3218</v>
      </c>
      <c r="C2671" s="5" t="s">
        <v>3219</v>
      </c>
      <c r="D2671" s="6">
        <f>IFERROR(__xludf.DUMMYFUNCTION("SPLIT(MID(C2671,2,LEN(C2671)-2), "","")"),486.0)</f>
        <v>486</v>
      </c>
      <c r="E2671" s="7"/>
      <c r="F2671" s="7"/>
      <c r="G2671" s="2" t="str">
        <f t="array" ref="G2671">IF(ISBLANK(D2671), "", INDEX(Categories!$B:$B,MATCH(D2671,Categories!$A:$A,0)))</f>
        <v>Brake Service &amp; Repair</v>
      </c>
      <c r="H2671" s="7" t="str">
        <f t="array" ref="H2671">IF(ISBLANK(E2671), "", INDEX(Categories!$B:$B,MATCH(E2671,Categories!$A:$A,0)))</f>
        <v/>
      </c>
      <c r="I2671" s="7" t="str">
        <f t="array" ref="I2671">IF(ISBLANK(F2671), "", INDEX(Categories!$B:$B,MATCH(F2671,Categories!$A:$A,0)))</f>
        <v/>
      </c>
      <c r="J2671" s="4"/>
      <c r="K2671" s="4"/>
      <c r="L2671" s="4"/>
      <c r="M2671" s="4"/>
      <c r="N2671" s="4"/>
      <c r="O2671" s="4"/>
      <c r="P2671" s="4"/>
      <c r="Q2671" s="4"/>
    </row>
    <row r="2672">
      <c r="A2672" s="5">
        <v>2671.0</v>
      </c>
      <c r="B2672" s="5" t="s">
        <v>3220</v>
      </c>
      <c r="C2672" s="5" t="s">
        <v>760</v>
      </c>
      <c r="D2672" s="6">
        <f>IFERROR(__xludf.DUMMYFUNCTION("SPLIT(MID(C2672,2,LEN(C2672)-2), "","")"),1246.0)</f>
        <v>1246</v>
      </c>
      <c r="E2672" s="7"/>
      <c r="F2672" s="7"/>
      <c r="G2672" s="2" t="str">
        <f t="array" ref="G2672">IF(ISBLANK(D2672), "", INDEX(Categories!$B:$B,MATCH(D2672,Categories!$A:$A,0)))</f>
        <v>Clothing</v>
      </c>
      <c r="H2672" s="7" t="str">
        <f t="array" ref="H2672">IF(ISBLANK(E2672), "", INDEX(Categories!$B:$B,MATCH(E2672,Categories!$A:$A,0)))</f>
        <v/>
      </c>
      <c r="I2672" s="7" t="str">
        <f t="array" ref="I2672">IF(ISBLANK(F2672), "", INDEX(Categories!$B:$B,MATCH(F2672,Categories!$A:$A,0)))</f>
        <v/>
      </c>
      <c r="J2672" s="4"/>
      <c r="K2672" s="4"/>
      <c r="L2672" s="4"/>
      <c r="M2672" s="4"/>
      <c r="N2672" s="4"/>
      <c r="O2672" s="4"/>
      <c r="P2672" s="4"/>
      <c r="Q2672" s="4"/>
    </row>
    <row r="2673">
      <c r="A2673" s="5">
        <v>2672.0</v>
      </c>
      <c r="B2673" s="5" t="s">
        <v>3221</v>
      </c>
      <c r="C2673" s="5" t="s">
        <v>274</v>
      </c>
      <c r="D2673" s="6">
        <f>IFERROR(__xludf.DUMMYFUNCTION("SPLIT(MID(C2673,2,LEN(C2673)-2), "","")"),619.0)</f>
        <v>619</v>
      </c>
      <c r="E2673" s="7"/>
      <c r="F2673" s="7"/>
      <c r="G2673" s="2" t="str">
        <f t="array" ref="G2673">IF(ISBLANK(D2673), "", INDEX(Categories!$B:$B,MATCH(D2673,Categories!$A:$A,0)))</f>
        <v>Jewelry</v>
      </c>
      <c r="H2673" s="7" t="str">
        <f t="array" ref="H2673">IF(ISBLANK(E2673), "", INDEX(Categories!$B:$B,MATCH(E2673,Categories!$A:$A,0)))</f>
        <v/>
      </c>
      <c r="I2673" s="7" t="str">
        <f t="array" ref="I2673">IF(ISBLANK(F2673), "", INDEX(Categories!$B:$B,MATCH(F2673,Categories!$A:$A,0)))</f>
        <v/>
      </c>
      <c r="J2673" s="4"/>
      <c r="K2673" s="4"/>
      <c r="L2673" s="4"/>
      <c r="M2673" s="4"/>
      <c r="N2673" s="4"/>
      <c r="O2673" s="4"/>
      <c r="P2673" s="4"/>
      <c r="Q2673" s="4"/>
    </row>
    <row r="2674">
      <c r="A2674" s="5">
        <v>2673.0</v>
      </c>
      <c r="B2674" s="5" t="s">
        <v>3222</v>
      </c>
      <c r="C2674" s="5" t="s">
        <v>2049</v>
      </c>
      <c r="D2674" s="6">
        <f>IFERROR(__xludf.DUMMYFUNCTION("SPLIT(MID(C2674,2,LEN(C2674)-2), "","")"),1250.0)</f>
        <v>1250</v>
      </c>
      <c r="E2674" s="7"/>
      <c r="F2674" s="7"/>
      <c r="G2674" s="2" t="str">
        <f t="array" ref="G2674">IF(ISBLANK(D2674), "", INDEX(Categories!$B:$B,MATCH(D2674,Categories!$A:$A,0)))</f>
        <v>Designers Apparel</v>
      </c>
      <c r="H2674" s="7" t="str">
        <f t="array" ref="H2674">IF(ISBLANK(E2674), "", INDEX(Categories!$B:$B,MATCH(E2674,Categories!$A:$A,0)))</f>
        <v/>
      </c>
      <c r="I2674" s="7" t="str">
        <f t="array" ref="I2674">IF(ISBLANK(F2674), "", INDEX(Categories!$B:$B,MATCH(F2674,Categories!$A:$A,0)))</f>
        <v/>
      </c>
      <c r="J2674" s="4"/>
      <c r="K2674" s="4"/>
      <c r="L2674" s="4"/>
      <c r="M2674" s="4"/>
      <c r="N2674" s="4"/>
      <c r="O2674" s="4"/>
      <c r="P2674" s="4"/>
      <c r="Q2674" s="4"/>
    </row>
    <row r="2675">
      <c r="A2675" s="5">
        <v>2674.0</v>
      </c>
      <c r="B2675" s="5" t="s">
        <v>3223</v>
      </c>
      <c r="C2675" s="5" t="s">
        <v>760</v>
      </c>
      <c r="D2675" s="6">
        <f>IFERROR(__xludf.DUMMYFUNCTION("SPLIT(MID(C2675,2,LEN(C2675)-2), "","")"),1246.0)</f>
        <v>1246</v>
      </c>
      <c r="E2675" s="7"/>
      <c r="F2675" s="7"/>
      <c r="G2675" s="2" t="str">
        <f t="array" ref="G2675">IF(ISBLANK(D2675), "", INDEX(Categories!$B:$B,MATCH(D2675,Categories!$A:$A,0)))</f>
        <v>Clothing</v>
      </c>
      <c r="H2675" s="7" t="str">
        <f t="array" ref="H2675">IF(ISBLANK(E2675), "", INDEX(Categories!$B:$B,MATCH(E2675,Categories!$A:$A,0)))</f>
        <v/>
      </c>
      <c r="I2675" s="7" t="str">
        <f t="array" ref="I2675">IF(ISBLANK(F2675), "", INDEX(Categories!$B:$B,MATCH(F2675,Categories!$A:$A,0)))</f>
        <v/>
      </c>
      <c r="J2675" s="4"/>
      <c r="K2675" s="4"/>
      <c r="L2675" s="4"/>
      <c r="M2675" s="4"/>
      <c r="N2675" s="4"/>
      <c r="O2675" s="4"/>
      <c r="P2675" s="4"/>
      <c r="Q2675" s="4"/>
    </row>
    <row r="2676">
      <c r="A2676" s="5">
        <v>2675.0</v>
      </c>
      <c r="B2676" s="5" t="s">
        <v>3224</v>
      </c>
      <c r="C2676" s="5" t="s">
        <v>139</v>
      </c>
      <c r="D2676" s="6">
        <f>IFERROR(__xludf.DUMMYFUNCTION("SPLIT(MID(C2676,2,LEN(C2676)-2), "","")"),1617.0)</f>
        <v>1617</v>
      </c>
      <c r="E2676" s="7"/>
      <c r="F2676" s="7"/>
      <c r="G2676" s="2" t="str">
        <f t="array" ref="G2676">IF(ISBLANK(D2676), "", INDEX(Categories!$B:$B,MATCH(D2676,Categories!$A:$A,0)))</f>
        <v>Department Stores</v>
      </c>
      <c r="H2676" s="7" t="str">
        <f t="array" ref="H2676">IF(ISBLANK(E2676), "", INDEX(Categories!$B:$B,MATCH(E2676,Categories!$A:$A,0)))</f>
        <v/>
      </c>
      <c r="I2676" s="7" t="str">
        <f t="array" ref="I2676">IF(ISBLANK(F2676), "", INDEX(Categories!$B:$B,MATCH(F2676,Categories!$A:$A,0)))</f>
        <v/>
      </c>
      <c r="J2676" s="4"/>
      <c r="K2676" s="4"/>
      <c r="L2676" s="4"/>
      <c r="M2676" s="4"/>
      <c r="N2676" s="4"/>
      <c r="O2676" s="4"/>
      <c r="P2676" s="4"/>
      <c r="Q2676" s="4"/>
    </row>
    <row r="2677">
      <c r="A2677" s="5">
        <v>2676.0</v>
      </c>
      <c r="B2677" s="5" t="s">
        <v>3225</v>
      </c>
      <c r="C2677" s="5" t="s">
        <v>2319</v>
      </c>
      <c r="D2677" s="6">
        <f>IFERROR(__xludf.DUMMYFUNCTION("SPLIT(MID(C2677,2,LEN(C2677)-2), "","")"),970.0)</f>
        <v>970</v>
      </c>
      <c r="E2677" s="7"/>
      <c r="F2677" s="7"/>
      <c r="G2677" s="2" t="str">
        <f t="array" ref="G2677">IF(ISBLANK(D2677), "", INDEX(Categories!$B:$B,MATCH(D2677,Categories!$A:$A,0)))</f>
        <v>Garage Doors &amp; Openers Sales &amp; Repairs</v>
      </c>
      <c r="H2677" s="7" t="str">
        <f t="array" ref="H2677">IF(ISBLANK(E2677), "", INDEX(Categories!$B:$B,MATCH(E2677,Categories!$A:$A,0)))</f>
        <v/>
      </c>
      <c r="I2677" s="7" t="str">
        <f t="array" ref="I2677">IF(ISBLANK(F2677), "", INDEX(Categories!$B:$B,MATCH(F2677,Categories!$A:$A,0)))</f>
        <v/>
      </c>
      <c r="J2677" s="4"/>
      <c r="K2677" s="4"/>
      <c r="L2677" s="4"/>
      <c r="M2677" s="4"/>
      <c r="N2677" s="4"/>
      <c r="O2677" s="4"/>
      <c r="P2677" s="4"/>
      <c r="Q2677" s="4"/>
    </row>
    <row r="2678">
      <c r="A2678" s="5">
        <v>2677.0</v>
      </c>
      <c r="B2678" s="5" t="s">
        <v>3226</v>
      </c>
      <c r="C2678" s="5" t="s">
        <v>1265</v>
      </c>
      <c r="D2678" s="6">
        <f>IFERROR(__xludf.DUMMYFUNCTION("SPLIT(MID(C2678,2,LEN(C2678)-2), "","")"),2555.0)</f>
        <v>2555</v>
      </c>
      <c r="E2678" s="7"/>
      <c r="F2678" s="7"/>
      <c r="G2678" s="2" t="str">
        <f t="array" ref="G2678">IF(ISBLANK(D2678), "", INDEX(Categories!$B:$B,MATCH(D2678,Categories!$A:$A,0)))</f>
        <v>House Cleaning Services</v>
      </c>
      <c r="H2678" s="7" t="str">
        <f t="array" ref="H2678">IF(ISBLANK(E2678), "", INDEX(Categories!$B:$B,MATCH(E2678,Categories!$A:$A,0)))</f>
        <v/>
      </c>
      <c r="I2678" s="7" t="str">
        <f t="array" ref="I2678">IF(ISBLANK(F2678), "", INDEX(Categories!$B:$B,MATCH(F2678,Categories!$A:$A,0)))</f>
        <v/>
      </c>
      <c r="J2678" s="4"/>
      <c r="K2678" s="4"/>
      <c r="L2678" s="4"/>
      <c r="M2678" s="4"/>
      <c r="N2678" s="4"/>
      <c r="O2678" s="4"/>
      <c r="P2678" s="4"/>
      <c r="Q2678" s="4"/>
    </row>
    <row r="2679">
      <c r="A2679" s="5">
        <v>2678.0</v>
      </c>
      <c r="B2679" s="5" t="s">
        <v>3227</v>
      </c>
      <c r="C2679" s="5" t="s">
        <v>1390</v>
      </c>
      <c r="D2679" s="6">
        <f>IFERROR(__xludf.DUMMYFUNCTION("SPLIT(MID(C2679,2,LEN(C2679)-2), "","")"),1064.0)</f>
        <v>1064</v>
      </c>
      <c r="E2679" s="7"/>
      <c r="F2679" s="7"/>
      <c r="G2679" s="2" t="str">
        <f t="array" ref="G2679">IF(ISBLANK(D2679), "", INDEX(Categories!$B:$B,MATCH(D2679,Categories!$A:$A,0)))</f>
        <v>Handyman Services</v>
      </c>
      <c r="H2679" s="7" t="str">
        <f t="array" ref="H2679">IF(ISBLANK(E2679), "", INDEX(Categories!$B:$B,MATCH(E2679,Categories!$A:$A,0)))</f>
        <v/>
      </c>
      <c r="I2679" s="7" t="str">
        <f t="array" ref="I2679">IF(ISBLANK(F2679), "", INDEX(Categories!$B:$B,MATCH(F2679,Categories!$A:$A,0)))</f>
        <v/>
      </c>
      <c r="J2679" s="4"/>
      <c r="K2679" s="4"/>
      <c r="L2679" s="4"/>
      <c r="M2679" s="4"/>
      <c r="N2679" s="4"/>
      <c r="O2679" s="4"/>
      <c r="P2679" s="4"/>
      <c r="Q2679" s="4"/>
    </row>
    <row r="2680">
      <c r="A2680" s="5">
        <v>2679.0</v>
      </c>
      <c r="B2680" s="5" t="s">
        <v>3228</v>
      </c>
      <c r="C2680" s="5" t="s">
        <v>238</v>
      </c>
      <c r="D2680" s="6">
        <f>IFERROR(__xludf.DUMMYFUNCTION("SPLIT(MID(C2680,2,LEN(C2680)-2), "","")"),2536.0)</f>
        <v>2536</v>
      </c>
      <c r="E2680" s="7"/>
      <c r="F2680" s="7"/>
      <c r="G2680" s="2" t="str">
        <f t="array" ref="G2680">IF(ISBLANK(D2680), "", INDEX(Categories!$B:$B,MATCH(D2680,Categories!$A:$A,0)))</f>
        <v>Carpet Rug &amp; Upholstery Cleaners</v>
      </c>
      <c r="H2680" s="7" t="str">
        <f t="array" ref="H2680">IF(ISBLANK(E2680), "", INDEX(Categories!$B:$B,MATCH(E2680,Categories!$A:$A,0)))</f>
        <v/>
      </c>
      <c r="I2680" s="7" t="str">
        <f t="array" ref="I2680">IF(ISBLANK(F2680), "", INDEX(Categories!$B:$B,MATCH(F2680,Categories!$A:$A,0)))</f>
        <v/>
      </c>
      <c r="J2680" s="4"/>
      <c r="K2680" s="4"/>
      <c r="L2680" s="4"/>
      <c r="M2680" s="4"/>
      <c r="N2680" s="4"/>
      <c r="O2680" s="4"/>
      <c r="P2680" s="4"/>
      <c r="Q2680" s="4"/>
    </row>
    <row r="2681">
      <c r="A2681" s="5">
        <v>2680.0</v>
      </c>
      <c r="B2681" s="5" t="s">
        <v>3229</v>
      </c>
      <c r="C2681" s="5" t="s">
        <v>303</v>
      </c>
      <c r="D2681" s="6">
        <f>IFERROR(__xludf.DUMMYFUNCTION("SPLIT(MID(C2681,2,LEN(C2681)-2), "","")"),1241.0)</f>
        <v>1241</v>
      </c>
      <c r="E2681" s="7"/>
      <c r="F2681" s="7"/>
      <c r="G2681" s="2" t="str">
        <f t="array" ref="G2681">IF(ISBLANK(D2681), "", INDEX(Categories!$B:$B,MATCH(D2681,Categories!$A:$A,0)))</f>
        <v>Clothing &amp; Accessories</v>
      </c>
      <c r="H2681" s="7" t="str">
        <f t="array" ref="H2681">IF(ISBLANK(E2681), "", INDEX(Categories!$B:$B,MATCH(E2681,Categories!$A:$A,0)))</f>
        <v/>
      </c>
      <c r="I2681" s="7" t="str">
        <f t="array" ref="I2681">IF(ISBLANK(F2681), "", INDEX(Categories!$B:$B,MATCH(F2681,Categories!$A:$A,0)))</f>
        <v/>
      </c>
      <c r="J2681" s="4"/>
      <c r="K2681" s="4"/>
      <c r="L2681" s="4"/>
      <c r="M2681" s="4"/>
      <c r="N2681" s="4"/>
      <c r="O2681" s="4"/>
      <c r="P2681" s="4"/>
      <c r="Q2681" s="4"/>
    </row>
    <row r="2682">
      <c r="A2682" s="5">
        <v>2681.0</v>
      </c>
      <c r="B2682" s="5" t="s">
        <v>3230</v>
      </c>
      <c r="C2682" s="5" t="s">
        <v>553</v>
      </c>
      <c r="D2682" s="6">
        <f>IFERROR(__xludf.DUMMYFUNCTION("SPLIT(MID(C2682,2,LEN(C2682)-2), "","")"),739.0)</f>
        <v>739</v>
      </c>
      <c r="E2682" s="7"/>
      <c r="F2682" s="7"/>
      <c r="G2682" s="2" t="str">
        <f t="array" ref="G2682">IF(ISBLANK(D2682), "", INDEX(Categories!$B:$B,MATCH(D2682,Categories!$A:$A,0)))</f>
        <v>Shoes &amp; Shoe Repairs</v>
      </c>
      <c r="H2682" s="7" t="str">
        <f t="array" ref="H2682">IF(ISBLANK(E2682), "", INDEX(Categories!$B:$B,MATCH(E2682,Categories!$A:$A,0)))</f>
        <v/>
      </c>
      <c r="I2682" s="7" t="str">
        <f t="array" ref="I2682">IF(ISBLANK(F2682), "", INDEX(Categories!$B:$B,MATCH(F2682,Categories!$A:$A,0)))</f>
        <v/>
      </c>
      <c r="J2682" s="4"/>
      <c r="K2682" s="4"/>
      <c r="L2682" s="4"/>
      <c r="M2682" s="4"/>
      <c r="N2682" s="4"/>
      <c r="O2682" s="4"/>
      <c r="P2682" s="4"/>
      <c r="Q2682" s="4"/>
    </row>
    <row r="2683">
      <c r="A2683" s="5">
        <v>2682.0</v>
      </c>
      <c r="B2683" s="5" t="s">
        <v>3231</v>
      </c>
      <c r="C2683" s="5" t="s">
        <v>109</v>
      </c>
      <c r="D2683" s="6">
        <f>IFERROR(__xludf.DUMMYFUNCTION("SPLIT(MID(C2683,2,LEN(C2683)-2), "","")"),741.0)</f>
        <v>741</v>
      </c>
      <c r="E2683" s="7"/>
      <c r="F2683" s="7"/>
      <c r="G2683" s="2" t="str">
        <f t="array" ref="G2683">IF(ISBLANK(D2683), "", INDEX(Categories!$B:$B,MATCH(D2683,Categories!$A:$A,0)))</f>
        <v>Shoes</v>
      </c>
      <c r="H2683" s="7" t="str">
        <f t="array" ref="H2683">IF(ISBLANK(E2683), "", INDEX(Categories!$B:$B,MATCH(E2683,Categories!$A:$A,0)))</f>
        <v/>
      </c>
      <c r="I2683" s="7" t="str">
        <f t="array" ref="I2683">IF(ISBLANK(F2683), "", INDEX(Categories!$B:$B,MATCH(F2683,Categories!$A:$A,0)))</f>
        <v/>
      </c>
      <c r="J2683" s="4"/>
      <c r="K2683" s="4"/>
      <c r="L2683" s="4"/>
      <c r="M2683" s="4"/>
      <c r="N2683" s="4"/>
      <c r="O2683" s="4"/>
      <c r="P2683" s="4"/>
      <c r="Q2683" s="4"/>
    </row>
    <row r="2684">
      <c r="A2684" s="5">
        <v>2683.0</v>
      </c>
      <c r="B2684" s="5" t="s">
        <v>3232</v>
      </c>
      <c r="C2684" s="5" t="s">
        <v>109</v>
      </c>
      <c r="D2684" s="6">
        <f>IFERROR(__xludf.DUMMYFUNCTION("SPLIT(MID(C2684,2,LEN(C2684)-2), "","")"),741.0)</f>
        <v>741</v>
      </c>
      <c r="E2684" s="7"/>
      <c r="F2684" s="7"/>
      <c r="G2684" s="2" t="str">
        <f t="array" ref="G2684">IF(ISBLANK(D2684), "", INDEX(Categories!$B:$B,MATCH(D2684,Categories!$A:$A,0)))</f>
        <v>Shoes</v>
      </c>
      <c r="H2684" s="7" t="str">
        <f t="array" ref="H2684">IF(ISBLANK(E2684), "", INDEX(Categories!$B:$B,MATCH(E2684,Categories!$A:$A,0)))</f>
        <v/>
      </c>
      <c r="I2684" s="7" t="str">
        <f t="array" ref="I2684">IF(ISBLANK(F2684), "", INDEX(Categories!$B:$B,MATCH(F2684,Categories!$A:$A,0)))</f>
        <v/>
      </c>
      <c r="J2684" s="4"/>
      <c r="K2684" s="4"/>
      <c r="L2684" s="4"/>
      <c r="M2684" s="4"/>
      <c r="N2684" s="4"/>
      <c r="O2684" s="4"/>
      <c r="P2684" s="4"/>
      <c r="Q2684" s="4"/>
    </row>
    <row r="2685">
      <c r="A2685" s="5">
        <v>2684.0</v>
      </c>
      <c r="B2685" s="5" t="s">
        <v>3233</v>
      </c>
      <c r="C2685" s="5" t="s">
        <v>2049</v>
      </c>
      <c r="D2685" s="6">
        <f>IFERROR(__xludf.DUMMYFUNCTION("SPLIT(MID(C2685,2,LEN(C2685)-2), "","")"),1250.0)</f>
        <v>1250</v>
      </c>
      <c r="E2685" s="7"/>
      <c r="F2685" s="7"/>
      <c r="G2685" s="2" t="str">
        <f t="array" ref="G2685">IF(ISBLANK(D2685), "", INDEX(Categories!$B:$B,MATCH(D2685,Categories!$A:$A,0)))</f>
        <v>Designers Apparel</v>
      </c>
      <c r="H2685" s="7" t="str">
        <f t="array" ref="H2685">IF(ISBLANK(E2685), "", INDEX(Categories!$B:$B,MATCH(E2685,Categories!$A:$A,0)))</f>
        <v/>
      </c>
      <c r="I2685" s="7" t="str">
        <f t="array" ref="I2685">IF(ISBLANK(F2685), "", INDEX(Categories!$B:$B,MATCH(F2685,Categories!$A:$A,0)))</f>
        <v/>
      </c>
      <c r="J2685" s="4"/>
      <c r="K2685" s="4"/>
      <c r="L2685" s="4"/>
      <c r="M2685" s="4"/>
      <c r="N2685" s="4"/>
      <c r="O2685" s="4"/>
      <c r="P2685" s="4"/>
      <c r="Q2685" s="4"/>
    </row>
    <row r="2686">
      <c r="A2686" s="5">
        <v>2685.0</v>
      </c>
      <c r="B2686" s="5" t="s">
        <v>3234</v>
      </c>
      <c r="C2686" s="5" t="s">
        <v>1600</v>
      </c>
      <c r="D2686" s="6">
        <f>IFERROR(__xludf.DUMMYFUNCTION("SPLIT(MID(C2686,2,LEN(C2686)-2), "","")"),2595.0)</f>
        <v>2595</v>
      </c>
      <c r="E2686" s="7"/>
      <c r="F2686" s="7"/>
      <c r="G2686" s="2" t="str">
        <f t="array" ref="G2686">IF(ISBLANK(D2686), "", INDEX(Categories!$B:$B,MATCH(D2686,Categories!$A:$A,0)))</f>
        <v>Health &amp; Fitness Clubs</v>
      </c>
      <c r="H2686" s="7" t="str">
        <f t="array" ref="H2686">IF(ISBLANK(E2686), "", INDEX(Categories!$B:$B,MATCH(E2686,Categories!$A:$A,0)))</f>
        <v/>
      </c>
      <c r="I2686" s="7" t="str">
        <f t="array" ref="I2686">IF(ISBLANK(F2686), "", INDEX(Categories!$B:$B,MATCH(F2686,Categories!$A:$A,0)))</f>
        <v/>
      </c>
      <c r="J2686" s="4"/>
      <c r="K2686" s="4"/>
      <c r="L2686" s="4"/>
      <c r="M2686" s="4"/>
      <c r="N2686" s="4"/>
      <c r="O2686" s="4"/>
      <c r="P2686" s="4"/>
      <c r="Q2686" s="4"/>
    </row>
    <row r="2687">
      <c r="A2687" s="5">
        <v>2686.0</v>
      </c>
      <c r="B2687" s="5" t="s">
        <v>3235</v>
      </c>
      <c r="C2687" s="5" t="s">
        <v>65</v>
      </c>
      <c r="D2687" s="6">
        <f>IFERROR(__xludf.DUMMYFUNCTION("SPLIT(MID(C2687,2,LEN(C2687)-2), "","")"),983.0)</f>
        <v>983</v>
      </c>
      <c r="E2687" s="7"/>
      <c r="F2687" s="7"/>
      <c r="G2687" s="2" t="str">
        <f t="array" ref="G2687">IF(ISBLANK(D2687), "", INDEX(Categories!$B:$B,MATCH(D2687,Categories!$A:$A,0)))</f>
        <v>Mobile Telephone Service</v>
      </c>
      <c r="H2687" s="7" t="str">
        <f t="array" ref="H2687">IF(ISBLANK(E2687), "", INDEX(Categories!$B:$B,MATCH(E2687,Categories!$A:$A,0)))</f>
        <v/>
      </c>
      <c r="I2687" s="7" t="str">
        <f t="array" ref="I2687">IF(ISBLANK(F2687), "", INDEX(Categories!$B:$B,MATCH(F2687,Categories!$A:$A,0)))</f>
        <v/>
      </c>
      <c r="J2687" s="4"/>
      <c r="K2687" s="4"/>
      <c r="L2687" s="4"/>
      <c r="M2687" s="4"/>
      <c r="N2687" s="4"/>
      <c r="O2687" s="4"/>
      <c r="P2687" s="4"/>
      <c r="Q2687" s="4"/>
    </row>
    <row r="2688">
      <c r="A2688" s="5">
        <v>2687.0</v>
      </c>
      <c r="B2688" s="5" t="s">
        <v>3236</v>
      </c>
      <c r="C2688" s="5" t="s">
        <v>303</v>
      </c>
      <c r="D2688" s="6">
        <f>IFERROR(__xludf.DUMMYFUNCTION("SPLIT(MID(C2688,2,LEN(C2688)-2), "","")"),1241.0)</f>
        <v>1241</v>
      </c>
      <c r="E2688" s="7"/>
      <c r="F2688" s="7"/>
      <c r="G2688" s="2" t="str">
        <f t="array" ref="G2688">IF(ISBLANK(D2688), "", INDEX(Categories!$B:$B,MATCH(D2688,Categories!$A:$A,0)))</f>
        <v>Clothing &amp; Accessories</v>
      </c>
      <c r="H2688" s="7" t="str">
        <f t="array" ref="H2688">IF(ISBLANK(E2688), "", INDEX(Categories!$B:$B,MATCH(E2688,Categories!$A:$A,0)))</f>
        <v/>
      </c>
      <c r="I2688" s="7" t="str">
        <f t="array" ref="I2688">IF(ISBLANK(F2688), "", INDEX(Categories!$B:$B,MATCH(F2688,Categories!$A:$A,0)))</f>
        <v/>
      </c>
      <c r="J2688" s="4"/>
      <c r="K2688" s="4"/>
      <c r="L2688" s="4"/>
      <c r="M2688" s="4"/>
      <c r="N2688" s="4"/>
      <c r="O2688" s="4"/>
      <c r="P2688" s="4"/>
      <c r="Q2688" s="4"/>
    </row>
    <row r="2689">
      <c r="A2689" s="5">
        <v>2688.0</v>
      </c>
      <c r="B2689" s="5" t="s">
        <v>3237</v>
      </c>
      <c r="C2689" s="5" t="s">
        <v>626</v>
      </c>
      <c r="D2689" s="6">
        <f>IFERROR(__xludf.DUMMYFUNCTION("SPLIT(MID(C2689,2,LEN(C2689)-2), "","")"),1247.0)</f>
        <v>1247</v>
      </c>
      <c r="E2689" s="7"/>
      <c r="F2689" s="7"/>
      <c r="G2689" s="2" t="str">
        <f t="array" ref="G2689">IF(ISBLANK(D2689), "", INDEX(Categories!$B:$B,MATCH(D2689,Categories!$A:$A,0)))</f>
        <v>Clothing Children &amp; Infant</v>
      </c>
      <c r="H2689" s="7" t="str">
        <f t="array" ref="H2689">IF(ISBLANK(E2689), "", INDEX(Categories!$B:$B,MATCH(E2689,Categories!$A:$A,0)))</f>
        <v/>
      </c>
      <c r="I2689" s="7" t="str">
        <f t="array" ref="I2689">IF(ISBLANK(F2689), "", INDEX(Categories!$B:$B,MATCH(F2689,Categories!$A:$A,0)))</f>
        <v/>
      </c>
      <c r="J2689" s="4"/>
      <c r="K2689" s="4"/>
      <c r="L2689" s="4"/>
      <c r="M2689" s="4"/>
      <c r="N2689" s="4"/>
      <c r="O2689" s="4"/>
      <c r="P2689" s="4"/>
      <c r="Q2689" s="4"/>
    </row>
    <row r="2690">
      <c r="A2690" s="5">
        <v>2689.0</v>
      </c>
      <c r="B2690" s="5" t="s">
        <v>3238</v>
      </c>
      <c r="C2690" s="5" t="s">
        <v>34</v>
      </c>
      <c r="D2690" s="6">
        <f>IFERROR(__xludf.DUMMYFUNCTION("SPLIT(MID(C2690,2,LEN(C2690)-2), "","")"),228.0)</f>
        <v>228</v>
      </c>
      <c r="E2690" s="7"/>
      <c r="F2690" s="7"/>
      <c r="G2690" s="2" t="str">
        <f t="array" ref="G2690">IF(ISBLANK(D2690), "", INDEX(Categories!$B:$B,MATCH(D2690,Categories!$A:$A,0)))</f>
        <v>Restaurants</v>
      </c>
      <c r="H2690" s="7" t="str">
        <f t="array" ref="H2690">IF(ISBLANK(E2690), "", INDEX(Categories!$B:$B,MATCH(E2690,Categories!$A:$A,0)))</f>
        <v/>
      </c>
      <c r="I2690" s="7" t="str">
        <f t="array" ref="I2690">IF(ISBLANK(F2690), "", INDEX(Categories!$B:$B,MATCH(F2690,Categories!$A:$A,0)))</f>
        <v/>
      </c>
      <c r="J2690" s="4"/>
      <c r="K2690" s="4"/>
      <c r="L2690" s="4"/>
      <c r="M2690" s="4"/>
      <c r="N2690" s="4"/>
      <c r="O2690" s="4"/>
      <c r="P2690" s="4"/>
      <c r="Q2690" s="4"/>
    </row>
    <row r="2691">
      <c r="A2691" s="5">
        <v>2690.0</v>
      </c>
      <c r="B2691" s="5" t="s">
        <v>3239</v>
      </c>
      <c r="C2691" s="5" t="s">
        <v>221</v>
      </c>
      <c r="D2691" s="6">
        <f>IFERROR(__xludf.DUMMYFUNCTION("SPLIT(MID(C2691,2,LEN(C2691)-2), "","")"),483.0)</f>
        <v>483</v>
      </c>
      <c r="E2691" s="7"/>
      <c r="F2691" s="7"/>
      <c r="G2691" s="2" t="str">
        <f t="array" ref="G2691">IF(ISBLANK(D2691), "", INDEX(Categories!$B:$B,MATCH(D2691,Categories!$A:$A,0)))</f>
        <v>Automobile Window Service &amp; Repair</v>
      </c>
      <c r="H2691" s="7" t="str">
        <f t="array" ref="H2691">IF(ISBLANK(E2691), "", INDEX(Categories!$B:$B,MATCH(E2691,Categories!$A:$A,0)))</f>
        <v/>
      </c>
      <c r="I2691" s="7" t="str">
        <f t="array" ref="I2691">IF(ISBLANK(F2691), "", INDEX(Categories!$B:$B,MATCH(F2691,Categories!$A:$A,0)))</f>
        <v/>
      </c>
      <c r="J2691" s="4"/>
      <c r="K2691" s="4"/>
      <c r="L2691" s="4"/>
      <c r="M2691" s="4"/>
      <c r="N2691" s="4"/>
      <c r="O2691" s="4"/>
      <c r="P2691" s="4"/>
      <c r="Q2691" s="4"/>
    </row>
    <row r="2692">
      <c r="A2692" s="5">
        <v>2691.0</v>
      </c>
      <c r="B2692" s="5" t="s">
        <v>3240</v>
      </c>
      <c r="C2692" s="5" t="s">
        <v>34</v>
      </c>
      <c r="D2692" s="6">
        <f>IFERROR(__xludf.DUMMYFUNCTION("SPLIT(MID(C2692,2,LEN(C2692)-2), "","")"),228.0)</f>
        <v>228</v>
      </c>
      <c r="E2692" s="7"/>
      <c r="F2692" s="7"/>
      <c r="G2692" s="2" t="str">
        <f t="array" ref="G2692">IF(ISBLANK(D2692), "", INDEX(Categories!$B:$B,MATCH(D2692,Categories!$A:$A,0)))</f>
        <v>Restaurants</v>
      </c>
      <c r="H2692" s="7" t="str">
        <f t="array" ref="H2692">IF(ISBLANK(E2692), "", INDEX(Categories!$B:$B,MATCH(E2692,Categories!$A:$A,0)))</f>
        <v/>
      </c>
      <c r="I2692" s="7" t="str">
        <f t="array" ref="I2692">IF(ISBLANK(F2692), "", INDEX(Categories!$B:$B,MATCH(F2692,Categories!$A:$A,0)))</f>
        <v/>
      </c>
      <c r="J2692" s="4"/>
      <c r="K2692" s="4"/>
      <c r="L2692" s="4"/>
      <c r="M2692" s="4"/>
      <c r="N2692" s="4"/>
      <c r="O2692" s="4"/>
      <c r="P2692" s="4"/>
      <c r="Q2692" s="4"/>
    </row>
    <row r="2693">
      <c r="A2693" s="5">
        <v>2692.0</v>
      </c>
      <c r="B2693" s="5" t="s">
        <v>3241</v>
      </c>
      <c r="C2693" s="5" t="s">
        <v>307</v>
      </c>
      <c r="D2693" s="6">
        <f>IFERROR(__xludf.DUMMYFUNCTION("SPLIT(MID(C2693,2,LEN(C2693)-2), "","")"),241.0)</f>
        <v>241</v>
      </c>
      <c r="E2693" s="7"/>
      <c r="F2693" s="7"/>
      <c r="G2693" s="2" t="str">
        <f t="array" ref="G2693">IF(ISBLANK(D2693), "", INDEX(Categories!$B:$B,MATCH(D2693,Categories!$A:$A,0)))</f>
        <v>Restaurants Mexican</v>
      </c>
      <c r="H2693" s="7" t="str">
        <f t="array" ref="H2693">IF(ISBLANK(E2693), "", INDEX(Categories!$B:$B,MATCH(E2693,Categories!$A:$A,0)))</f>
        <v/>
      </c>
      <c r="I2693" s="7" t="str">
        <f t="array" ref="I2693">IF(ISBLANK(F2693), "", INDEX(Categories!$B:$B,MATCH(F2693,Categories!$A:$A,0)))</f>
        <v/>
      </c>
      <c r="J2693" s="4"/>
      <c r="K2693" s="4"/>
      <c r="L2693" s="4"/>
      <c r="M2693" s="4"/>
      <c r="N2693" s="4"/>
      <c r="O2693" s="4"/>
      <c r="P2693" s="4"/>
      <c r="Q2693" s="4"/>
    </row>
    <row r="2694">
      <c r="A2694" s="5">
        <v>2693.0</v>
      </c>
      <c r="B2694" s="5" t="s">
        <v>3242</v>
      </c>
      <c r="C2694" s="5" t="s">
        <v>34</v>
      </c>
      <c r="D2694" s="6">
        <f>IFERROR(__xludf.DUMMYFUNCTION("SPLIT(MID(C2694,2,LEN(C2694)-2), "","")"),228.0)</f>
        <v>228</v>
      </c>
      <c r="E2694" s="7"/>
      <c r="F2694" s="7"/>
      <c r="G2694" s="2" t="str">
        <f t="array" ref="G2694">IF(ISBLANK(D2694), "", INDEX(Categories!$B:$B,MATCH(D2694,Categories!$A:$A,0)))</f>
        <v>Restaurants</v>
      </c>
      <c r="H2694" s="7" t="str">
        <f t="array" ref="H2694">IF(ISBLANK(E2694), "", INDEX(Categories!$B:$B,MATCH(E2694,Categories!$A:$A,0)))</f>
        <v/>
      </c>
      <c r="I2694" s="7" t="str">
        <f t="array" ref="I2694">IF(ISBLANK(F2694), "", INDEX(Categories!$B:$B,MATCH(F2694,Categories!$A:$A,0)))</f>
        <v/>
      </c>
      <c r="J2694" s="4"/>
      <c r="K2694" s="4"/>
      <c r="L2694" s="4"/>
      <c r="M2694" s="4"/>
      <c r="N2694" s="4"/>
      <c r="O2694" s="4"/>
      <c r="P2694" s="4"/>
      <c r="Q2694" s="4"/>
    </row>
    <row r="2695">
      <c r="A2695" s="5">
        <v>2694.0</v>
      </c>
      <c r="B2695" s="5" t="s">
        <v>3243</v>
      </c>
      <c r="C2695" s="5" t="s">
        <v>2502</v>
      </c>
      <c r="D2695" s="6">
        <f>IFERROR(__xludf.DUMMYFUNCTION("SPLIT(MID(C2695,2,LEN(C2695)-2), "","")"),1099.0)</f>
        <v>1099</v>
      </c>
      <c r="E2695" s="7"/>
      <c r="F2695" s="7"/>
      <c r="G2695" s="2" t="str">
        <f t="array" ref="G2695">IF(ISBLANK(D2695), "", INDEX(Categories!$B:$B,MATCH(D2695,Categories!$A:$A,0)))</f>
        <v>Bars, Taverns &amp; Cocktail Lounges</v>
      </c>
      <c r="H2695" s="7" t="str">
        <f t="array" ref="H2695">IF(ISBLANK(E2695), "", INDEX(Categories!$B:$B,MATCH(E2695,Categories!$A:$A,0)))</f>
        <v/>
      </c>
      <c r="I2695" s="7" t="str">
        <f t="array" ref="I2695">IF(ISBLANK(F2695), "", INDEX(Categories!$B:$B,MATCH(F2695,Categories!$A:$A,0)))</f>
        <v/>
      </c>
      <c r="J2695" s="4"/>
      <c r="K2695" s="4"/>
      <c r="L2695" s="4"/>
      <c r="M2695" s="4"/>
      <c r="N2695" s="4"/>
      <c r="O2695" s="4"/>
      <c r="P2695" s="4"/>
      <c r="Q2695" s="4"/>
    </row>
    <row r="2696">
      <c r="A2696" s="5">
        <v>2695.0</v>
      </c>
      <c r="B2696" s="5" t="s">
        <v>3244</v>
      </c>
      <c r="C2696" s="5" t="s">
        <v>1530</v>
      </c>
      <c r="D2696" s="6">
        <f>IFERROR(__xludf.DUMMYFUNCTION("SPLIT(MID(C2696,2,LEN(C2696)-2), "","")"),239.0)</f>
        <v>239</v>
      </c>
      <c r="E2696" s="7"/>
      <c r="F2696" s="7"/>
      <c r="G2696" s="2" t="str">
        <f t="array" ref="G2696">IF(ISBLANK(D2696), "", INDEX(Categories!$B:$B,MATCH(D2696,Categories!$A:$A,0)))</f>
        <v>Restaurants Dining</v>
      </c>
      <c r="H2696" s="7" t="str">
        <f t="array" ref="H2696">IF(ISBLANK(E2696), "", INDEX(Categories!$B:$B,MATCH(E2696,Categories!$A:$A,0)))</f>
        <v/>
      </c>
      <c r="I2696" s="7" t="str">
        <f t="array" ref="I2696">IF(ISBLANK(F2696), "", INDEX(Categories!$B:$B,MATCH(F2696,Categories!$A:$A,0)))</f>
        <v/>
      </c>
      <c r="J2696" s="4"/>
      <c r="K2696" s="4"/>
      <c r="L2696" s="4"/>
      <c r="M2696" s="4"/>
      <c r="N2696" s="4"/>
      <c r="O2696" s="4"/>
      <c r="P2696" s="4"/>
      <c r="Q2696" s="4"/>
    </row>
    <row r="2697">
      <c r="A2697" s="5">
        <v>2696.0</v>
      </c>
      <c r="B2697" s="5" t="s">
        <v>3245</v>
      </c>
      <c r="C2697" s="5" t="s">
        <v>34</v>
      </c>
      <c r="D2697" s="6">
        <f>IFERROR(__xludf.DUMMYFUNCTION("SPLIT(MID(C2697,2,LEN(C2697)-2), "","")"),228.0)</f>
        <v>228</v>
      </c>
      <c r="E2697" s="7"/>
      <c r="F2697" s="7"/>
      <c r="G2697" s="2" t="str">
        <f t="array" ref="G2697">IF(ISBLANK(D2697), "", INDEX(Categories!$B:$B,MATCH(D2697,Categories!$A:$A,0)))</f>
        <v>Restaurants</v>
      </c>
      <c r="H2697" s="7" t="str">
        <f t="array" ref="H2697">IF(ISBLANK(E2697), "", INDEX(Categories!$B:$B,MATCH(E2697,Categories!$A:$A,0)))</f>
        <v/>
      </c>
      <c r="I2697" s="7" t="str">
        <f t="array" ref="I2697">IF(ISBLANK(F2697), "", INDEX(Categories!$B:$B,MATCH(F2697,Categories!$A:$A,0)))</f>
        <v/>
      </c>
      <c r="J2697" s="4"/>
      <c r="K2697" s="4"/>
      <c r="L2697" s="4"/>
      <c r="M2697" s="4"/>
      <c r="N2697" s="4"/>
      <c r="O2697" s="4"/>
      <c r="P2697" s="4"/>
      <c r="Q2697" s="4"/>
    </row>
    <row r="2698">
      <c r="A2698" s="5">
        <v>2697.0</v>
      </c>
      <c r="B2698" s="5" t="s">
        <v>3246</v>
      </c>
      <c r="C2698" s="5" t="s">
        <v>1530</v>
      </c>
      <c r="D2698" s="6">
        <f>IFERROR(__xludf.DUMMYFUNCTION("SPLIT(MID(C2698,2,LEN(C2698)-2), "","")"),239.0)</f>
        <v>239</v>
      </c>
      <c r="E2698" s="7"/>
      <c r="F2698" s="7"/>
      <c r="G2698" s="2" t="str">
        <f t="array" ref="G2698">IF(ISBLANK(D2698), "", INDEX(Categories!$B:$B,MATCH(D2698,Categories!$A:$A,0)))</f>
        <v>Restaurants Dining</v>
      </c>
      <c r="H2698" s="7" t="str">
        <f t="array" ref="H2698">IF(ISBLANK(E2698), "", INDEX(Categories!$B:$B,MATCH(E2698,Categories!$A:$A,0)))</f>
        <v/>
      </c>
      <c r="I2698" s="7" t="str">
        <f t="array" ref="I2698">IF(ISBLANK(F2698), "", INDEX(Categories!$B:$B,MATCH(F2698,Categories!$A:$A,0)))</f>
        <v/>
      </c>
      <c r="J2698" s="4"/>
      <c r="K2698" s="4"/>
      <c r="L2698" s="4"/>
      <c r="M2698" s="4"/>
      <c r="N2698" s="4"/>
      <c r="O2698" s="4"/>
      <c r="P2698" s="4"/>
      <c r="Q2698" s="4"/>
    </row>
    <row r="2699">
      <c r="A2699" s="5">
        <v>2698.0</v>
      </c>
      <c r="B2699" s="5" t="s">
        <v>3247</v>
      </c>
      <c r="C2699" s="5" t="s">
        <v>34</v>
      </c>
      <c r="D2699" s="6">
        <f>IFERROR(__xludf.DUMMYFUNCTION("SPLIT(MID(C2699,2,LEN(C2699)-2), "","")"),228.0)</f>
        <v>228</v>
      </c>
      <c r="E2699" s="7"/>
      <c r="F2699" s="7"/>
      <c r="G2699" s="2" t="str">
        <f t="array" ref="G2699">IF(ISBLANK(D2699), "", INDEX(Categories!$B:$B,MATCH(D2699,Categories!$A:$A,0)))</f>
        <v>Restaurants</v>
      </c>
      <c r="H2699" s="7" t="str">
        <f t="array" ref="H2699">IF(ISBLANK(E2699), "", INDEX(Categories!$B:$B,MATCH(E2699,Categories!$A:$A,0)))</f>
        <v/>
      </c>
      <c r="I2699" s="7" t="str">
        <f t="array" ref="I2699">IF(ISBLANK(F2699), "", INDEX(Categories!$B:$B,MATCH(F2699,Categories!$A:$A,0)))</f>
        <v/>
      </c>
      <c r="J2699" s="4"/>
      <c r="K2699" s="4"/>
      <c r="L2699" s="4"/>
      <c r="M2699" s="4"/>
      <c r="N2699" s="4"/>
      <c r="O2699" s="4"/>
      <c r="P2699" s="4"/>
      <c r="Q2699" s="4"/>
    </row>
    <row r="2700">
      <c r="A2700" s="5">
        <v>2699.0</v>
      </c>
      <c r="B2700" s="5" t="s">
        <v>3248</v>
      </c>
      <c r="C2700" s="5" t="s">
        <v>34</v>
      </c>
      <c r="D2700" s="6">
        <f>IFERROR(__xludf.DUMMYFUNCTION("SPLIT(MID(C2700,2,LEN(C2700)-2), "","")"),228.0)</f>
        <v>228</v>
      </c>
      <c r="E2700" s="7"/>
      <c r="F2700" s="7"/>
      <c r="G2700" s="2" t="str">
        <f t="array" ref="G2700">IF(ISBLANK(D2700), "", INDEX(Categories!$B:$B,MATCH(D2700,Categories!$A:$A,0)))</f>
        <v>Restaurants</v>
      </c>
      <c r="H2700" s="7" t="str">
        <f t="array" ref="H2700">IF(ISBLANK(E2700), "", INDEX(Categories!$B:$B,MATCH(E2700,Categories!$A:$A,0)))</f>
        <v/>
      </c>
      <c r="I2700" s="7" t="str">
        <f t="array" ref="I2700">IF(ISBLANK(F2700), "", INDEX(Categories!$B:$B,MATCH(F2700,Categories!$A:$A,0)))</f>
        <v/>
      </c>
      <c r="J2700" s="4"/>
      <c r="K2700" s="4"/>
      <c r="L2700" s="4"/>
      <c r="M2700" s="4"/>
      <c r="N2700" s="4"/>
      <c r="O2700" s="4"/>
      <c r="P2700" s="4"/>
      <c r="Q2700" s="4"/>
    </row>
    <row r="2701">
      <c r="A2701" s="5">
        <v>2700.0</v>
      </c>
      <c r="B2701" s="5" t="s">
        <v>3249</v>
      </c>
      <c r="C2701" s="5" t="s">
        <v>34</v>
      </c>
      <c r="D2701" s="6">
        <f>IFERROR(__xludf.DUMMYFUNCTION("SPLIT(MID(C2701,2,LEN(C2701)-2), "","")"),228.0)</f>
        <v>228</v>
      </c>
      <c r="E2701" s="7"/>
      <c r="F2701" s="7"/>
      <c r="G2701" s="2" t="str">
        <f t="array" ref="G2701">IF(ISBLANK(D2701), "", INDEX(Categories!$B:$B,MATCH(D2701,Categories!$A:$A,0)))</f>
        <v>Restaurants</v>
      </c>
      <c r="H2701" s="7" t="str">
        <f t="array" ref="H2701">IF(ISBLANK(E2701), "", INDEX(Categories!$B:$B,MATCH(E2701,Categories!$A:$A,0)))</f>
        <v/>
      </c>
      <c r="I2701" s="7" t="str">
        <f t="array" ref="I2701">IF(ISBLANK(F2701), "", INDEX(Categories!$B:$B,MATCH(F2701,Categories!$A:$A,0)))</f>
        <v/>
      </c>
      <c r="J2701" s="4"/>
      <c r="K2701" s="4"/>
      <c r="L2701" s="4"/>
      <c r="M2701" s="4"/>
      <c r="N2701" s="4"/>
      <c r="O2701" s="4"/>
      <c r="P2701" s="4"/>
      <c r="Q2701" s="4"/>
    </row>
    <row r="2702">
      <c r="A2702" s="5">
        <v>2701.0</v>
      </c>
      <c r="B2702" s="5" t="s">
        <v>3250</v>
      </c>
      <c r="C2702" s="5" t="s">
        <v>12</v>
      </c>
      <c r="D2702" s="6">
        <f>IFERROR(__xludf.DUMMYFUNCTION("SPLIT(MID(C2702,2,LEN(C2702)-2), "","")"),469.0)</f>
        <v>469</v>
      </c>
      <c r="E2702" s="7"/>
      <c r="F2702" s="7"/>
      <c r="G2702" s="2" t="str">
        <f t="array" ref="G2702">IF(ISBLANK(D2702), "", INDEX(Categories!$B:$B,MATCH(D2702,Categories!$A:$A,0)))</f>
        <v>Automobile - Repairs &amp; Services</v>
      </c>
      <c r="H2702" s="7" t="str">
        <f t="array" ref="H2702">IF(ISBLANK(E2702), "", INDEX(Categories!$B:$B,MATCH(E2702,Categories!$A:$A,0)))</f>
        <v/>
      </c>
      <c r="I2702" s="7" t="str">
        <f t="array" ref="I2702">IF(ISBLANK(F2702), "", INDEX(Categories!$B:$B,MATCH(F2702,Categories!$A:$A,0)))</f>
        <v/>
      </c>
      <c r="J2702" s="4"/>
      <c r="K2702" s="4"/>
      <c r="L2702" s="4"/>
      <c r="M2702" s="4"/>
      <c r="N2702" s="4"/>
      <c r="O2702" s="4"/>
      <c r="P2702" s="4"/>
      <c r="Q2702" s="4"/>
    </row>
    <row r="2703">
      <c r="A2703" s="5">
        <v>2702.0</v>
      </c>
      <c r="B2703" s="5" t="s">
        <v>3251</v>
      </c>
      <c r="C2703" s="5" t="s">
        <v>760</v>
      </c>
      <c r="D2703" s="6">
        <f>IFERROR(__xludf.DUMMYFUNCTION("SPLIT(MID(C2703,2,LEN(C2703)-2), "","")"),1246.0)</f>
        <v>1246</v>
      </c>
      <c r="E2703" s="7"/>
      <c r="F2703" s="7"/>
      <c r="G2703" s="2" t="str">
        <f t="array" ref="G2703">IF(ISBLANK(D2703), "", INDEX(Categories!$B:$B,MATCH(D2703,Categories!$A:$A,0)))</f>
        <v>Clothing</v>
      </c>
      <c r="H2703" s="7" t="str">
        <f t="array" ref="H2703">IF(ISBLANK(E2703), "", INDEX(Categories!$B:$B,MATCH(E2703,Categories!$A:$A,0)))</f>
        <v/>
      </c>
      <c r="I2703" s="7" t="str">
        <f t="array" ref="I2703">IF(ISBLANK(F2703), "", INDEX(Categories!$B:$B,MATCH(F2703,Categories!$A:$A,0)))</f>
        <v/>
      </c>
      <c r="J2703" s="4"/>
      <c r="K2703" s="4"/>
      <c r="L2703" s="4"/>
      <c r="M2703" s="4"/>
      <c r="N2703" s="4"/>
      <c r="O2703" s="4"/>
      <c r="P2703" s="4"/>
      <c r="Q2703" s="4"/>
    </row>
    <row r="2704">
      <c r="A2704" s="5">
        <v>2703.0</v>
      </c>
      <c r="B2704" s="5" t="s">
        <v>3252</v>
      </c>
      <c r="C2704" s="5" t="s">
        <v>760</v>
      </c>
      <c r="D2704" s="6">
        <f>IFERROR(__xludf.DUMMYFUNCTION("SPLIT(MID(C2704,2,LEN(C2704)-2), "","")"),1246.0)</f>
        <v>1246</v>
      </c>
      <c r="E2704" s="7"/>
      <c r="F2704" s="7"/>
      <c r="G2704" s="2" t="str">
        <f t="array" ref="G2704">IF(ISBLANK(D2704), "", INDEX(Categories!$B:$B,MATCH(D2704,Categories!$A:$A,0)))</f>
        <v>Clothing</v>
      </c>
      <c r="H2704" s="7" t="str">
        <f t="array" ref="H2704">IF(ISBLANK(E2704), "", INDEX(Categories!$B:$B,MATCH(E2704,Categories!$A:$A,0)))</f>
        <v/>
      </c>
      <c r="I2704" s="7" t="str">
        <f t="array" ref="I2704">IF(ISBLANK(F2704), "", INDEX(Categories!$B:$B,MATCH(F2704,Categories!$A:$A,0)))</f>
        <v/>
      </c>
      <c r="J2704" s="4"/>
      <c r="K2704" s="4"/>
      <c r="L2704" s="4"/>
      <c r="M2704" s="4"/>
      <c r="N2704" s="4"/>
      <c r="O2704" s="4"/>
      <c r="P2704" s="4"/>
      <c r="Q2704" s="4"/>
    </row>
    <row r="2705">
      <c r="A2705" s="5">
        <v>2704.0</v>
      </c>
      <c r="B2705" s="5" t="s">
        <v>3253</v>
      </c>
      <c r="C2705" s="5" t="s">
        <v>43</v>
      </c>
      <c r="D2705" s="6">
        <f>IFERROR(__xludf.DUMMYFUNCTION("SPLIT(MID(C2705,2,LEN(C2705)-2), "","")"),292.0)</f>
        <v>292</v>
      </c>
      <c r="E2705" s="7"/>
      <c r="F2705" s="7"/>
      <c r="G2705" s="2" t="str">
        <f t="array" ref="G2705">IF(ISBLANK(D2705), "", INDEX(Categories!$B:$B,MATCH(D2705,Categories!$A:$A,0)))</f>
        <v>Banks</v>
      </c>
      <c r="H2705" s="7" t="str">
        <f t="array" ref="H2705">IF(ISBLANK(E2705), "", INDEX(Categories!$B:$B,MATCH(E2705,Categories!$A:$A,0)))</f>
        <v/>
      </c>
      <c r="I2705" s="7" t="str">
        <f t="array" ref="I2705">IF(ISBLANK(F2705), "", INDEX(Categories!$B:$B,MATCH(F2705,Categories!$A:$A,0)))</f>
        <v/>
      </c>
      <c r="J2705" s="4"/>
      <c r="K2705" s="4"/>
      <c r="L2705" s="4"/>
      <c r="M2705" s="4"/>
      <c r="N2705" s="4"/>
      <c r="O2705" s="4"/>
      <c r="P2705" s="4"/>
      <c r="Q2705" s="4"/>
    </row>
    <row r="2706">
      <c r="A2706" s="5">
        <v>2705.0</v>
      </c>
      <c r="B2706" s="5" t="s">
        <v>3254</v>
      </c>
      <c r="C2706" s="5" t="s">
        <v>3255</v>
      </c>
      <c r="D2706" s="6">
        <f>IFERROR(__xludf.DUMMYFUNCTION("SPLIT(MID(C2706,2,LEN(C2706)-2), "","")"),2558.0)</f>
        <v>2558</v>
      </c>
      <c r="E2706" s="7"/>
      <c r="F2706" s="7"/>
      <c r="G2706" s="2" t="str">
        <f t="array" ref="G2706">IF(ISBLANK(D2706), "", INDEX(Categories!$B:$B,MATCH(D2706,Categories!$A:$A,0)))</f>
        <v>Mold Inspection &amp; Remediation</v>
      </c>
      <c r="H2706" s="7" t="str">
        <f t="array" ref="H2706">IF(ISBLANK(E2706), "", INDEX(Categories!$B:$B,MATCH(E2706,Categories!$A:$A,0)))</f>
        <v/>
      </c>
      <c r="I2706" s="7" t="str">
        <f t="array" ref="I2706">IF(ISBLANK(F2706), "", INDEX(Categories!$B:$B,MATCH(F2706,Categories!$A:$A,0)))</f>
        <v/>
      </c>
      <c r="J2706" s="4"/>
      <c r="K2706" s="4"/>
      <c r="L2706" s="4"/>
      <c r="M2706" s="4"/>
      <c r="N2706" s="4"/>
      <c r="O2706" s="4"/>
      <c r="P2706" s="4"/>
      <c r="Q2706" s="4"/>
    </row>
    <row r="2707">
      <c r="A2707" s="5">
        <v>2706.0</v>
      </c>
      <c r="B2707" s="5" t="s">
        <v>3256</v>
      </c>
      <c r="C2707" s="5" t="s">
        <v>62</v>
      </c>
      <c r="D2707" s="6">
        <f>IFERROR(__xludf.DUMMYFUNCTION("SPLIT(MID(C2707,2,LEN(C2707)-2), "","")"),242.0)</f>
        <v>242</v>
      </c>
      <c r="E2707" s="7"/>
      <c r="F2707" s="7"/>
      <c r="G2707" s="2" t="str">
        <f t="array" ref="G2707">IF(ISBLANK(D2707), "", INDEX(Categories!$B:$B,MATCH(D2707,Categories!$A:$A,0)))</f>
        <v>Restaurants Pizza</v>
      </c>
      <c r="H2707" s="7" t="str">
        <f t="array" ref="H2707">IF(ISBLANK(E2707), "", INDEX(Categories!$B:$B,MATCH(E2707,Categories!$A:$A,0)))</f>
        <v/>
      </c>
      <c r="I2707" s="7" t="str">
        <f t="array" ref="I2707">IF(ISBLANK(F2707), "", INDEX(Categories!$B:$B,MATCH(F2707,Categories!$A:$A,0)))</f>
        <v/>
      </c>
      <c r="J2707" s="4"/>
      <c r="K2707" s="4"/>
      <c r="L2707" s="4"/>
      <c r="M2707" s="4"/>
      <c r="N2707" s="4"/>
      <c r="O2707" s="4"/>
      <c r="P2707" s="4"/>
      <c r="Q2707" s="4"/>
    </row>
    <row r="2708">
      <c r="A2708" s="5">
        <v>2707.0</v>
      </c>
      <c r="B2708" s="5" t="s">
        <v>3257</v>
      </c>
      <c r="C2708" s="5" t="s">
        <v>760</v>
      </c>
      <c r="D2708" s="6">
        <f>IFERROR(__xludf.DUMMYFUNCTION("SPLIT(MID(C2708,2,LEN(C2708)-2), "","")"),1246.0)</f>
        <v>1246</v>
      </c>
      <c r="E2708" s="7"/>
      <c r="F2708" s="7"/>
      <c r="G2708" s="2" t="str">
        <f t="array" ref="G2708">IF(ISBLANK(D2708), "", INDEX(Categories!$B:$B,MATCH(D2708,Categories!$A:$A,0)))</f>
        <v>Clothing</v>
      </c>
      <c r="H2708" s="7" t="str">
        <f t="array" ref="H2708">IF(ISBLANK(E2708), "", INDEX(Categories!$B:$B,MATCH(E2708,Categories!$A:$A,0)))</f>
        <v/>
      </c>
      <c r="I2708" s="7" t="str">
        <f t="array" ref="I2708">IF(ISBLANK(F2708), "", INDEX(Categories!$B:$B,MATCH(F2708,Categories!$A:$A,0)))</f>
        <v/>
      </c>
      <c r="J2708" s="4"/>
      <c r="K2708" s="4"/>
      <c r="L2708" s="4"/>
      <c r="M2708" s="4"/>
      <c r="N2708" s="4"/>
      <c r="O2708" s="4"/>
      <c r="P2708" s="4"/>
      <c r="Q2708" s="4"/>
    </row>
    <row r="2709">
      <c r="A2709" s="5">
        <v>2708.0</v>
      </c>
      <c r="B2709" s="5" t="s">
        <v>3258</v>
      </c>
      <c r="C2709" s="5" t="s">
        <v>238</v>
      </c>
      <c r="D2709" s="6">
        <f>IFERROR(__xludf.DUMMYFUNCTION("SPLIT(MID(C2709,2,LEN(C2709)-2), "","")"),2536.0)</f>
        <v>2536</v>
      </c>
      <c r="E2709" s="7"/>
      <c r="F2709" s="7"/>
      <c r="G2709" s="2" t="str">
        <f t="array" ref="G2709">IF(ISBLANK(D2709), "", INDEX(Categories!$B:$B,MATCH(D2709,Categories!$A:$A,0)))</f>
        <v>Carpet Rug &amp; Upholstery Cleaners</v>
      </c>
      <c r="H2709" s="7" t="str">
        <f t="array" ref="H2709">IF(ISBLANK(E2709), "", INDEX(Categories!$B:$B,MATCH(E2709,Categories!$A:$A,0)))</f>
        <v/>
      </c>
      <c r="I2709" s="7" t="str">
        <f t="array" ref="I2709">IF(ISBLANK(F2709), "", INDEX(Categories!$B:$B,MATCH(F2709,Categories!$A:$A,0)))</f>
        <v/>
      </c>
      <c r="J2709" s="4"/>
      <c r="K2709" s="4"/>
      <c r="L2709" s="4"/>
      <c r="M2709" s="4"/>
      <c r="N2709" s="4"/>
      <c r="O2709" s="4"/>
      <c r="P2709" s="4"/>
      <c r="Q2709" s="4"/>
    </row>
    <row r="2710">
      <c r="A2710" s="5">
        <v>2709.0</v>
      </c>
      <c r="B2710" s="5" t="s">
        <v>3259</v>
      </c>
      <c r="C2710" s="5" t="s">
        <v>1166</v>
      </c>
      <c r="D2710" s="6">
        <f>IFERROR(__xludf.DUMMYFUNCTION("SPLIT(MID(C2710,2,LEN(C2710)-2), "","")"),1.0)</f>
        <v>1</v>
      </c>
      <c r="E2710" s="7"/>
      <c r="F2710" s="7"/>
      <c r="G2710" s="2" t="str">
        <f t="array" ref="G2710">IF(ISBLANK(D2710), "", INDEX(Categories!$B:$B,MATCH(D2710,Categories!$A:$A,0)))</f>
        <v>Automobile - Dealers</v>
      </c>
      <c r="H2710" s="7" t="str">
        <f t="array" ref="H2710">IF(ISBLANK(E2710), "", INDEX(Categories!$B:$B,MATCH(E2710,Categories!$A:$A,0)))</f>
        <v/>
      </c>
      <c r="I2710" s="7" t="str">
        <f t="array" ref="I2710">IF(ISBLANK(F2710), "", INDEX(Categories!$B:$B,MATCH(F2710,Categories!$A:$A,0)))</f>
        <v/>
      </c>
      <c r="J2710" s="4"/>
      <c r="K2710" s="4"/>
      <c r="L2710" s="4"/>
      <c r="M2710" s="4"/>
      <c r="N2710" s="4"/>
      <c r="O2710" s="4"/>
      <c r="P2710" s="4"/>
      <c r="Q2710" s="4"/>
    </row>
    <row r="2711">
      <c r="A2711" s="5">
        <v>2710.0</v>
      </c>
      <c r="B2711" s="5" t="s">
        <v>3260</v>
      </c>
      <c r="C2711" s="5" t="s">
        <v>1166</v>
      </c>
      <c r="D2711" s="6">
        <f>IFERROR(__xludf.DUMMYFUNCTION("SPLIT(MID(C2711,2,LEN(C2711)-2), "","")"),1.0)</f>
        <v>1</v>
      </c>
      <c r="E2711" s="7"/>
      <c r="F2711" s="7"/>
      <c r="G2711" s="2" t="str">
        <f t="array" ref="G2711">IF(ISBLANK(D2711), "", INDEX(Categories!$B:$B,MATCH(D2711,Categories!$A:$A,0)))</f>
        <v>Automobile - Dealers</v>
      </c>
      <c r="H2711" s="7" t="str">
        <f t="array" ref="H2711">IF(ISBLANK(E2711), "", INDEX(Categories!$B:$B,MATCH(E2711,Categories!$A:$A,0)))</f>
        <v/>
      </c>
      <c r="I2711" s="7" t="str">
        <f t="array" ref="I2711">IF(ISBLANK(F2711), "", INDEX(Categories!$B:$B,MATCH(F2711,Categories!$A:$A,0)))</f>
        <v/>
      </c>
      <c r="J2711" s="4"/>
      <c r="K2711" s="4"/>
      <c r="L2711" s="4"/>
      <c r="M2711" s="4"/>
      <c r="N2711" s="4"/>
      <c r="O2711" s="4"/>
      <c r="P2711" s="4"/>
      <c r="Q2711" s="4"/>
    </row>
    <row r="2712">
      <c r="A2712" s="5">
        <v>2711.0</v>
      </c>
      <c r="B2712" s="5" t="s">
        <v>3261</v>
      </c>
      <c r="C2712" s="5" t="s">
        <v>1166</v>
      </c>
      <c r="D2712" s="6">
        <f>IFERROR(__xludf.DUMMYFUNCTION("SPLIT(MID(C2712,2,LEN(C2712)-2), "","")"),1.0)</f>
        <v>1</v>
      </c>
      <c r="E2712" s="7"/>
      <c r="F2712" s="7"/>
      <c r="G2712" s="2" t="str">
        <f t="array" ref="G2712">IF(ISBLANK(D2712), "", INDEX(Categories!$B:$B,MATCH(D2712,Categories!$A:$A,0)))</f>
        <v>Automobile - Dealers</v>
      </c>
      <c r="H2712" s="7" t="str">
        <f t="array" ref="H2712">IF(ISBLANK(E2712), "", INDEX(Categories!$B:$B,MATCH(E2712,Categories!$A:$A,0)))</f>
        <v/>
      </c>
      <c r="I2712" s="7" t="str">
        <f t="array" ref="I2712">IF(ISBLANK(F2712), "", INDEX(Categories!$B:$B,MATCH(F2712,Categories!$A:$A,0)))</f>
        <v/>
      </c>
      <c r="J2712" s="4"/>
      <c r="K2712" s="4"/>
      <c r="L2712" s="4"/>
      <c r="M2712" s="4"/>
      <c r="N2712" s="4"/>
      <c r="O2712" s="4"/>
      <c r="P2712" s="4"/>
      <c r="Q2712" s="4"/>
    </row>
    <row r="2713">
      <c r="A2713" s="5">
        <v>2712.0</v>
      </c>
      <c r="B2713" s="5" t="s">
        <v>3262</v>
      </c>
      <c r="C2713" s="5" t="s">
        <v>1166</v>
      </c>
      <c r="D2713" s="6">
        <f>IFERROR(__xludf.DUMMYFUNCTION("SPLIT(MID(C2713,2,LEN(C2713)-2), "","")"),1.0)</f>
        <v>1</v>
      </c>
      <c r="E2713" s="7"/>
      <c r="F2713" s="7"/>
      <c r="G2713" s="2" t="str">
        <f t="array" ref="G2713">IF(ISBLANK(D2713), "", INDEX(Categories!$B:$B,MATCH(D2713,Categories!$A:$A,0)))</f>
        <v>Automobile - Dealers</v>
      </c>
      <c r="H2713" s="7" t="str">
        <f t="array" ref="H2713">IF(ISBLANK(E2713), "", INDEX(Categories!$B:$B,MATCH(E2713,Categories!$A:$A,0)))</f>
        <v/>
      </c>
      <c r="I2713" s="7" t="str">
        <f t="array" ref="I2713">IF(ISBLANK(F2713), "", INDEX(Categories!$B:$B,MATCH(F2713,Categories!$A:$A,0)))</f>
        <v/>
      </c>
      <c r="J2713" s="4"/>
      <c r="K2713" s="4"/>
      <c r="L2713" s="4"/>
      <c r="M2713" s="4"/>
      <c r="N2713" s="4"/>
      <c r="O2713" s="4"/>
      <c r="P2713" s="4"/>
      <c r="Q2713" s="4"/>
    </row>
    <row r="2714">
      <c r="A2714" s="5">
        <v>2713.0</v>
      </c>
      <c r="B2714" s="5" t="s">
        <v>3263</v>
      </c>
      <c r="C2714" s="5" t="s">
        <v>1166</v>
      </c>
      <c r="D2714" s="6">
        <f>IFERROR(__xludf.DUMMYFUNCTION("SPLIT(MID(C2714,2,LEN(C2714)-2), "","")"),1.0)</f>
        <v>1</v>
      </c>
      <c r="E2714" s="7"/>
      <c r="F2714" s="7"/>
      <c r="G2714" s="2" t="str">
        <f t="array" ref="G2714">IF(ISBLANK(D2714), "", INDEX(Categories!$B:$B,MATCH(D2714,Categories!$A:$A,0)))</f>
        <v>Automobile - Dealers</v>
      </c>
      <c r="H2714" s="7" t="str">
        <f t="array" ref="H2714">IF(ISBLANK(E2714), "", INDEX(Categories!$B:$B,MATCH(E2714,Categories!$A:$A,0)))</f>
        <v/>
      </c>
      <c r="I2714" s="7" t="str">
        <f t="array" ref="I2714">IF(ISBLANK(F2714), "", INDEX(Categories!$B:$B,MATCH(F2714,Categories!$A:$A,0)))</f>
        <v/>
      </c>
      <c r="J2714" s="4"/>
      <c r="K2714" s="4"/>
      <c r="L2714" s="4"/>
      <c r="M2714" s="4"/>
      <c r="N2714" s="4"/>
      <c r="O2714" s="4"/>
      <c r="P2714" s="4"/>
      <c r="Q2714" s="4"/>
    </row>
    <row r="2715">
      <c r="A2715" s="5">
        <v>2714.0</v>
      </c>
      <c r="B2715" s="5" t="s">
        <v>3264</v>
      </c>
      <c r="C2715" s="5" t="s">
        <v>1166</v>
      </c>
      <c r="D2715" s="6">
        <f>IFERROR(__xludf.DUMMYFUNCTION("SPLIT(MID(C2715,2,LEN(C2715)-2), "","")"),1.0)</f>
        <v>1</v>
      </c>
      <c r="E2715" s="7"/>
      <c r="F2715" s="7"/>
      <c r="G2715" s="2" t="str">
        <f t="array" ref="G2715">IF(ISBLANK(D2715), "", INDEX(Categories!$B:$B,MATCH(D2715,Categories!$A:$A,0)))</f>
        <v>Automobile - Dealers</v>
      </c>
      <c r="H2715" s="7" t="str">
        <f t="array" ref="H2715">IF(ISBLANK(E2715), "", INDEX(Categories!$B:$B,MATCH(E2715,Categories!$A:$A,0)))</f>
        <v/>
      </c>
      <c r="I2715" s="7" t="str">
        <f t="array" ref="I2715">IF(ISBLANK(F2715), "", INDEX(Categories!$B:$B,MATCH(F2715,Categories!$A:$A,0)))</f>
        <v/>
      </c>
      <c r="J2715" s="4"/>
      <c r="K2715" s="4"/>
      <c r="L2715" s="4"/>
      <c r="M2715" s="4"/>
      <c r="N2715" s="4"/>
      <c r="O2715" s="4"/>
      <c r="P2715" s="4"/>
      <c r="Q2715" s="4"/>
    </row>
    <row r="2716">
      <c r="A2716" s="5">
        <v>2715.0</v>
      </c>
      <c r="B2716" s="5" t="s">
        <v>3265</v>
      </c>
      <c r="C2716" s="5" t="s">
        <v>1166</v>
      </c>
      <c r="D2716" s="6">
        <f>IFERROR(__xludf.DUMMYFUNCTION("SPLIT(MID(C2716,2,LEN(C2716)-2), "","")"),1.0)</f>
        <v>1</v>
      </c>
      <c r="E2716" s="7"/>
      <c r="F2716" s="7"/>
      <c r="G2716" s="2" t="str">
        <f t="array" ref="G2716">IF(ISBLANK(D2716), "", INDEX(Categories!$B:$B,MATCH(D2716,Categories!$A:$A,0)))</f>
        <v>Automobile - Dealers</v>
      </c>
      <c r="H2716" s="7" t="str">
        <f t="array" ref="H2716">IF(ISBLANK(E2716), "", INDEX(Categories!$B:$B,MATCH(E2716,Categories!$A:$A,0)))</f>
        <v/>
      </c>
      <c r="I2716" s="7" t="str">
        <f t="array" ref="I2716">IF(ISBLANK(F2716), "", INDEX(Categories!$B:$B,MATCH(F2716,Categories!$A:$A,0)))</f>
        <v/>
      </c>
      <c r="J2716" s="4"/>
      <c r="K2716" s="4"/>
      <c r="L2716" s="4"/>
      <c r="M2716" s="4"/>
      <c r="N2716" s="4"/>
      <c r="O2716" s="4"/>
      <c r="P2716" s="4"/>
      <c r="Q2716" s="4"/>
    </row>
    <row r="2717">
      <c r="A2717" s="5">
        <v>2716.0</v>
      </c>
      <c r="B2717" s="5" t="s">
        <v>3266</v>
      </c>
      <c r="C2717" s="5" t="s">
        <v>1166</v>
      </c>
      <c r="D2717" s="6">
        <f>IFERROR(__xludf.DUMMYFUNCTION("SPLIT(MID(C2717,2,LEN(C2717)-2), "","")"),1.0)</f>
        <v>1</v>
      </c>
      <c r="E2717" s="7"/>
      <c r="F2717" s="7"/>
      <c r="G2717" s="2" t="str">
        <f t="array" ref="G2717">IF(ISBLANK(D2717), "", INDEX(Categories!$B:$B,MATCH(D2717,Categories!$A:$A,0)))</f>
        <v>Automobile - Dealers</v>
      </c>
      <c r="H2717" s="7" t="str">
        <f t="array" ref="H2717">IF(ISBLANK(E2717), "", INDEX(Categories!$B:$B,MATCH(E2717,Categories!$A:$A,0)))</f>
        <v/>
      </c>
      <c r="I2717" s="7" t="str">
        <f t="array" ref="I2717">IF(ISBLANK(F2717), "", INDEX(Categories!$B:$B,MATCH(F2717,Categories!$A:$A,0)))</f>
        <v/>
      </c>
      <c r="J2717" s="4"/>
      <c r="K2717" s="4"/>
      <c r="L2717" s="4"/>
      <c r="M2717" s="4"/>
      <c r="N2717" s="4"/>
      <c r="O2717" s="4"/>
      <c r="P2717" s="4"/>
      <c r="Q2717" s="4"/>
    </row>
    <row r="2718">
      <c r="A2718" s="5">
        <v>2717.0</v>
      </c>
      <c r="B2718" s="5" t="s">
        <v>3267</v>
      </c>
      <c r="C2718" s="5" t="s">
        <v>1166</v>
      </c>
      <c r="D2718" s="6">
        <f>IFERROR(__xludf.DUMMYFUNCTION("SPLIT(MID(C2718,2,LEN(C2718)-2), "","")"),1.0)</f>
        <v>1</v>
      </c>
      <c r="E2718" s="7"/>
      <c r="F2718" s="7"/>
      <c r="G2718" s="2" t="str">
        <f t="array" ref="G2718">IF(ISBLANK(D2718), "", INDEX(Categories!$B:$B,MATCH(D2718,Categories!$A:$A,0)))</f>
        <v>Automobile - Dealers</v>
      </c>
      <c r="H2718" s="7" t="str">
        <f t="array" ref="H2718">IF(ISBLANK(E2718), "", INDEX(Categories!$B:$B,MATCH(E2718,Categories!$A:$A,0)))</f>
        <v/>
      </c>
      <c r="I2718" s="7" t="str">
        <f t="array" ref="I2718">IF(ISBLANK(F2718), "", INDEX(Categories!$B:$B,MATCH(F2718,Categories!$A:$A,0)))</f>
        <v/>
      </c>
      <c r="J2718" s="4"/>
      <c r="K2718" s="4"/>
      <c r="L2718" s="4"/>
      <c r="M2718" s="4"/>
      <c r="N2718" s="4"/>
      <c r="O2718" s="4"/>
      <c r="P2718" s="4"/>
      <c r="Q2718" s="4"/>
    </row>
    <row r="2719">
      <c r="A2719" s="5">
        <v>2718.0</v>
      </c>
      <c r="B2719" s="5" t="s">
        <v>3268</v>
      </c>
      <c r="C2719" s="5" t="s">
        <v>1166</v>
      </c>
      <c r="D2719" s="6">
        <f>IFERROR(__xludf.DUMMYFUNCTION("SPLIT(MID(C2719,2,LEN(C2719)-2), "","")"),1.0)</f>
        <v>1</v>
      </c>
      <c r="E2719" s="7"/>
      <c r="F2719" s="7"/>
      <c r="G2719" s="2" t="str">
        <f t="array" ref="G2719">IF(ISBLANK(D2719), "", INDEX(Categories!$B:$B,MATCH(D2719,Categories!$A:$A,0)))</f>
        <v>Automobile - Dealers</v>
      </c>
      <c r="H2719" s="7" t="str">
        <f t="array" ref="H2719">IF(ISBLANK(E2719), "", INDEX(Categories!$B:$B,MATCH(E2719,Categories!$A:$A,0)))</f>
        <v/>
      </c>
      <c r="I2719" s="7" t="str">
        <f t="array" ref="I2719">IF(ISBLANK(F2719), "", INDEX(Categories!$B:$B,MATCH(F2719,Categories!$A:$A,0)))</f>
        <v/>
      </c>
      <c r="J2719" s="4"/>
      <c r="K2719" s="4"/>
      <c r="L2719" s="4"/>
      <c r="M2719" s="4"/>
      <c r="N2719" s="4"/>
      <c r="O2719" s="4"/>
      <c r="P2719" s="4"/>
      <c r="Q2719" s="4"/>
    </row>
    <row r="2720">
      <c r="A2720" s="5">
        <v>2719.0</v>
      </c>
      <c r="B2720" s="5" t="s">
        <v>3269</v>
      </c>
      <c r="C2720" s="5" t="s">
        <v>1166</v>
      </c>
      <c r="D2720" s="6">
        <f>IFERROR(__xludf.DUMMYFUNCTION("SPLIT(MID(C2720,2,LEN(C2720)-2), "","")"),1.0)</f>
        <v>1</v>
      </c>
      <c r="E2720" s="7"/>
      <c r="F2720" s="7"/>
      <c r="G2720" s="2" t="str">
        <f t="array" ref="G2720">IF(ISBLANK(D2720), "", INDEX(Categories!$B:$B,MATCH(D2720,Categories!$A:$A,0)))</f>
        <v>Automobile - Dealers</v>
      </c>
      <c r="H2720" s="7" t="str">
        <f t="array" ref="H2720">IF(ISBLANK(E2720), "", INDEX(Categories!$B:$B,MATCH(E2720,Categories!$A:$A,0)))</f>
        <v/>
      </c>
      <c r="I2720" s="7" t="str">
        <f t="array" ref="I2720">IF(ISBLANK(F2720), "", INDEX(Categories!$B:$B,MATCH(F2720,Categories!$A:$A,0)))</f>
        <v/>
      </c>
      <c r="J2720" s="4"/>
      <c r="K2720" s="4"/>
      <c r="L2720" s="4"/>
      <c r="M2720" s="4"/>
      <c r="N2720" s="4"/>
      <c r="O2720" s="4"/>
      <c r="P2720" s="4"/>
      <c r="Q2720" s="4"/>
    </row>
    <row r="2721">
      <c r="A2721" s="5">
        <v>2720.0</v>
      </c>
      <c r="B2721" s="5" t="s">
        <v>3270</v>
      </c>
      <c r="C2721" s="5" t="s">
        <v>1166</v>
      </c>
      <c r="D2721" s="6">
        <f>IFERROR(__xludf.DUMMYFUNCTION("SPLIT(MID(C2721,2,LEN(C2721)-2), "","")"),1.0)</f>
        <v>1</v>
      </c>
      <c r="E2721" s="7"/>
      <c r="F2721" s="7"/>
      <c r="G2721" s="2" t="str">
        <f t="array" ref="G2721">IF(ISBLANK(D2721), "", INDEX(Categories!$B:$B,MATCH(D2721,Categories!$A:$A,0)))</f>
        <v>Automobile - Dealers</v>
      </c>
      <c r="H2721" s="7" t="str">
        <f t="array" ref="H2721">IF(ISBLANK(E2721), "", INDEX(Categories!$B:$B,MATCH(E2721,Categories!$A:$A,0)))</f>
        <v/>
      </c>
      <c r="I2721" s="7" t="str">
        <f t="array" ref="I2721">IF(ISBLANK(F2721), "", INDEX(Categories!$B:$B,MATCH(F2721,Categories!$A:$A,0)))</f>
        <v/>
      </c>
      <c r="J2721" s="4"/>
      <c r="K2721" s="4"/>
      <c r="L2721" s="4"/>
      <c r="M2721" s="4"/>
      <c r="N2721" s="4"/>
      <c r="O2721" s="4"/>
      <c r="P2721" s="4"/>
      <c r="Q2721" s="4"/>
    </row>
    <row r="2722">
      <c r="A2722" s="5">
        <v>2721.0</v>
      </c>
      <c r="B2722" s="5" t="s">
        <v>3271</v>
      </c>
      <c r="C2722" s="5" t="s">
        <v>1166</v>
      </c>
      <c r="D2722" s="6">
        <f>IFERROR(__xludf.DUMMYFUNCTION("SPLIT(MID(C2722,2,LEN(C2722)-2), "","")"),1.0)</f>
        <v>1</v>
      </c>
      <c r="E2722" s="7"/>
      <c r="F2722" s="7"/>
      <c r="G2722" s="2" t="str">
        <f t="array" ref="G2722">IF(ISBLANK(D2722), "", INDEX(Categories!$B:$B,MATCH(D2722,Categories!$A:$A,0)))</f>
        <v>Automobile - Dealers</v>
      </c>
      <c r="H2722" s="7" t="str">
        <f t="array" ref="H2722">IF(ISBLANK(E2722), "", INDEX(Categories!$B:$B,MATCH(E2722,Categories!$A:$A,0)))</f>
        <v/>
      </c>
      <c r="I2722" s="7" t="str">
        <f t="array" ref="I2722">IF(ISBLANK(F2722), "", INDEX(Categories!$B:$B,MATCH(F2722,Categories!$A:$A,0)))</f>
        <v/>
      </c>
      <c r="J2722" s="4"/>
      <c r="K2722" s="4"/>
      <c r="L2722" s="4"/>
      <c r="M2722" s="4"/>
      <c r="N2722" s="4"/>
      <c r="O2722" s="4"/>
      <c r="P2722" s="4"/>
      <c r="Q2722" s="4"/>
    </row>
    <row r="2723">
      <c r="A2723" s="5">
        <v>2722.0</v>
      </c>
      <c r="B2723" s="5" t="s">
        <v>3272</v>
      </c>
      <c r="C2723" s="5" t="s">
        <v>1166</v>
      </c>
      <c r="D2723" s="6">
        <f>IFERROR(__xludf.DUMMYFUNCTION("SPLIT(MID(C2723,2,LEN(C2723)-2), "","")"),1.0)</f>
        <v>1</v>
      </c>
      <c r="E2723" s="7"/>
      <c r="F2723" s="7"/>
      <c r="G2723" s="2" t="str">
        <f t="array" ref="G2723">IF(ISBLANK(D2723), "", INDEX(Categories!$B:$B,MATCH(D2723,Categories!$A:$A,0)))</f>
        <v>Automobile - Dealers</v>
      </c>
      <c r="H2723" s="7" t="str">
        <f t="array" ref="H2723">IF(ISBLANK(E2723), "", INDEX(Categories!$B:$B,MATCH(E2723,Categories!$A:$A,0)))</f>
        <v/>
      </c>
      <c r="I2723" s="7" t="str">
        <f t="array" ref="I2723">IF(ISBLANK(F2723), "", INDEX(Categories!$B:$B,MATCH(F2723,Categories!$A:$A,0)))</f>
        <v/>
      </c>
      <c r="J2723" s="4"/>
      <c r="K2723" s="4"/>
      <c r="L2723" s="4"/>
      <c r="M2723" s="4"/>
      <c r="N2723" s="4"/>
      <c r="O2723" s="4"/>
      <c r="P2723" s="4"/>
      <c r="Q2723" s="4"/>
    </row>
    <row r="2724">
      <c r="A2724" s="5">
        <v>2723.0</v>
      </c>
      <c r="B2724" s="5" t="s">
        <v>3273</v>
      </c>
      <c r="C2724" s="5" t="s">
        <v>1166</v>
      </c>
      <c r="D2724" s="6">
        <f>IFERROR(__xludf.DUMMYFUNCTION("SPLIT(MID(C2724,2,LEN(C2724)-2), "","")"),1.0)</f>
        <v>1</v>
      </c>
      <c r="E2724" s="7"/>
      <c r="F2724" s="7"/>
      <c r="G2724" s="2" t="str">
        <f t="array" ref="G2724">IF(ISBLANK(D2724), "", INDEX(Categories!$B:$B,MATCH(D2724,Categories!$A:$A,0)))</f>
        <v>Automobile - Dealers</v>
      </c>
      <c r="H2724" s="7" t="str">
        <f t="array" ref="H2724">IF(ISBLANK(E2724), "", INDEX(Categories!$B:$B,MATCH(E2724,Categories!$A:$A,0)))</f>
        <v/>
      </c>
      <c r="I2724" s="7" t="str">
        <f t="array" ref="I2724">IF(ISBLANK(F2724), "", INDEX(Categories!$B:$B,MATCH(F2724,Categories!$A:$A,0)))</f>
        <v/>
      </c>
      <c r="J2724" s="4"/>
      <c r="K2724" s="4"/>
      <c r="L2724" s="4"/>
      <c r="M2724" s="4"/>
      <c r="N2724" s="4"/>
      <c r="O2724" s="4"/>
      <c r="P2724" s="4"/>
      <c r="Q2724" s="4"/>
    </row>
    <row r="2725">
      <c r="A2725" s="5">
        <v>2724.0</v>
      </c>
      <c r="B2725" s="5" t="s">
        <v>3274</v>
      </c>
      <c r="C2725" s="5" t="s">
        <v>1166</v>
      </c>
      <c r="D2725" s="6">
        <f>IFERROR(__xludf.DUMMYFUNCTION("SPLIT(MID(C2725,2,LEN(C2725)-2), "","")"),1.0)</f>
        <v>1</v>
      </c>
      <c r="E2725" s="7"/>
      <c r="F2725" s="7"/>
      <c r="G2725" s="2" t="str">
        <f t="array" ref="G2725">IF(ISBLANK(D2725), "", INDEX(Categories!$B:$B,MATCH(D2725,Categories!$A:$A,0)))</f>
        <v>Automobile - Dealers</v>
      </c>
      <c r="H2725" s="7" t="str">
        <f t="array" ref="H2725">IF(ISBLANK(E2725), "", INDEX(Categories!$B:$B,MATCH(E2725,Categories!$A:$A,0)))</f>
        <v/>
      </c>
      <c r="I2725" s="7" t="str">
        <f t="array" ref="I2725">IF(ISBLANK(F2725), "", INDEX(Categories!$B:$B,MATCH(F2725,Categories!$A:$A,0)))</f>
        <v/>
      </c>
      <c r="J2725" s="4"/>
      <c r="K2725" s="4"/>
      <c r="L2725" s="4"/>
      <c r="M2725" s="4"/>
      <c r="N2725" s="4"/>
      <c r="O2725" s="4"/>
      <c r="P2725" s="4"/>
      <c r="Q2725" s="4"/>
    </row>
    <row r="2726">
      <c r="A2726" s="5">
        <v>2725.0</v>
      </c>
      <c r="B2726" s="5" t="s">
        <v>3275</v>
      </c>
      <c r="C2726" s="5" t="s">
        <v>1166</v>
      </c>
      <c r="D2726" s="6">
        <f>IFERROR(__xludf.DUMMYFUNCTION("SPLIT(MID(C2726,2,LEN(C2726)-2), "","")"),1.0)</f>
        <v>1</v>
      </c>
      <c r="E2726" s="7"/>
      <c r="F2726" s="7"/>
      <c r="G2726" s="2" t="str">
        <f t="array" ref="G2726">IF(ISBLANK(D2726), "", INDEX(Categories!$B:$B,MATCH(D2726,Categories!$A:$A,0)))</f>
        <v>Automobile - Dealers</v>
      </c>
      <c r="H2726" s="7" t="str">
        <f t="array" ref="H2726">IF(ISBLANK(E2726), "", INDEX(Categories!$B:$B,MATCH(E2726,Categories!$A:$A,0)))</f>
        <v/>
      </c>
      <c r="I2726" s="7" t="str">
        <f t="array" ref="I2726">IF(ISBLANK(F2726), "", INDEX(Categories!$B:$B,MATCH(F2726,Categories!$A:$A,0)))</f>
        <v/>
      </c>
      <c r="J2726" s="4"/>
      <c r="K2726" s="4"/>
      <c r="L2726" s="4"/>
      <c r="M2726" s="4"/>
      <c r="N2726" s="4"/>
      <c r="O2726" s="4"/>
      <c r="P2726" s="4"/>
      <c r="Q2726" s="4"/>
    </row>
    <row r="2727">
      <c r="A2727" s="5">
        <v>2726.0</v>
      </c>
      <c r="B2727" s="5" t="s">
        <v>3276</v>
      </c>
      <c r="C2727" s="5" t="s">
        <v>1166</v>
      </c>
      <c r="D2727" s="6">
        <f>IFERROR(__xludf.DUMMYFUNCTION("SPLIT(MID(C2727,2,LEN(C2727)-2), "","")"),1.0)</f>
        <v>1</v>
      </c>
      <c r="E2727" s="7"/>
      <c r="F2727" s="7"/>
      <c r="G2727" s="2" t="str">
        <f t="array" ref="G2727">IF(ISBLANK(D2727), "", INDEX(Categories!$B:$B,MATCH(D2727,Categories!$A:$A,0)))</f>
        <v>Automobile - Dealers</v>
      </c>
      <c r="H2727" s="7" t="str">
        <f t="array" ref="H2727">IF(ISBLANK(E2727), "", INDEX(Categories!$B:$B,MATCH(E2727,Categories!$A:$A,0)))</f>
        <v/>
      </c>
      <c r="I2727" s="7" t="str">
        <f t="array" ref="I2727">IF(ISBLANK(F2727), "", INDEX(Categories!$B:$B,MATCH(F2727,Categories!$A:$A,0)))</f>
        <v/>
      </c>
      <c r="J2727" s="4"/>
      <c r="K2727" s="4"/>
      <c r="L2727" s="4"/>
      <c r="M2727" s="4"/>
      <c r="N2727" s="4"/>
      <c r="O2727" s="4"/>
      <c r="P2727" s="4"/>
      <c r="Q2727" s="4"/>
    </row>
    <row r="2728">
      <c r="A2728" s="5">
        <v>2727.0</v>
      </c>
      <c r="B2728" s="5" t="s">
        <v>2549</v>
      </c>
      <c r="C2728" s="5" t="s">
        <v>1166</v>
      </c>
      <c r="D2728" s="6">
        <f>IFERROR(__xludf.DUMMYFUNCTION("SPLIT(MID(C2728,2,LEN(C2728)-2), "","")"),1.0)</f>
        <v>1</v>
      </c>
      <c r="E2728" s="7"/>
      <c r="F2728" s="7"/>
      <c r="G2728" s="2" t="str">
        <f t="array" ref="G2728">IF(ISBLANK(D2728), "", INDEX(Categories!$B:$B,MATCH(D2728,Categories!$A:$A,0)))</f>
        <v>Automobile - Dealers</v>
      </c>
      <c r="H2728" s="7" t="str">
        <f t="array" ref="H2728">IF(ISBLANK(E2728), "", INDEX(Categories!$B:$B,MATCH(E2728,Categories!$A:$A,0)))</f>
        <v/>
      </c>
      <c r="I2728" s="7" t="str">
        <f t="array" ref="I2728">IF(ISBLANK(F2728), "", INDEX(Categories!$B:$B,MATCH(F2728,Categories!$A:$A,0)))</f>
        <v/>
      </c>
      <c r="J2728" s="4"/>
      <c r="K2728" s="4"/>
      <c r="L2728" s="4"/>
      <c r="M2728" s="4"/>
      <c r="N2728" s="4"/>
      <c r="O2728" s="4"/>
      <c r="P2728" s="4"/>
      <c r="Q2728" s="4"/>
    </row>
    <row r="2729">
      <c r="A2729" s="5">
        <v>2728.0</v>
      </c>
      <c r="B2729" s="5" t="s">
        <v>3277</v>
      </c>
      <c r="C2729" s="5" t="s">
        <v>1166</v>
      </c>
      <c r="D2729" s="6">
        <f>IFERROR(__xludf.DUMMYFUNCTION("SPLIT(MID(C2729,2,LEN(C2729)-2), "","")"),1.0)</f>
        <v>1</v>
      </c>
      <c r="E2729" s="7"/>
      <c r="F2729" s="7"/>
      <c r="G2729" s="2" t="str">
        <f t="array" ref="G2729">IF(ISBLANK(D2729), "", INDEX(Categories!$B:$B,MATCH(D2729,Categories!$A:$A,0)))</f>
        <v>Automobile - Dealers</v>
      </c>
      <c r="H2729" s="7" t="str">
        <f t="array" ref="H2729">IF(ISBLANK(E2729), "", INDEX(Categories!$B:$B,MATCH(E2729,Categories!$A:$A,0)))</f>
        <v/>
      </c>
      <c r="I2729" s="7" t="str">
        <f t="array" ref="I2729">IF(ISBLANK(F2729), "", INDEX(Categories!$B:$B,MATCH(F2729,Categories!$A:$A,0)))</f>
        <v/>
      </c>
      <c r="J2729" s="4"/>
      <c r="K2729" s="4"/>
      <c r="L2729" s="4"/>
      <c r="M2729" s="4"/>
      <c r="N2729" s="4"/>
      <c r="O2729" s="4"/>
      <c r="P2729" s="4"/>
      <c r="Q2729" s="4"/>
    </row>
    <row r="2730">
      <c r="A2730" s="5">
        <v>2729.0</v>
      </c>
      <c r="B2730" s="5" t="s">
        <v>3278</v>
      </c>
      <c r="C2730" s="5" t="s">
        <v>1166</v>
      </c>
      <c r="D2730" s="6">
        <f>IFERROR(__xludf.DUMMYFUNCTION("SPLIT(MID(C2730,2,LEN(C2730)-2), "","")"),1.0)</f>
        <v>1</v>
      </c>
      <c r="E2730" s="7"/>
      <c r="F2730" s="7"/>
      <c r="G2730" s="2" t="str">
        <f t="array" ref="G2730">IF(ISBLANK(D2730), "", INDEX(Categories!$B:$B,MATCH(D2730,Categories!$A:$A,0)))</f>
        <v>Automobile - Dealers</v>
      </c>
      <c r="H2730" s="7" t="str">
        <f t="array" ref="H2730">IF(ISBLANK(E2730), "", INDEX(Categories!$B:$B,MATCH(E2730,Categories!$A:$A,0)))</f>
        <v/>
      </c>
      <c r="I2730" s="7" t="str">
        <f t="array" ref="I2730">IF(ISBLANK(F2730), "", INDEX(Categories!$B:$B,MATCH(F2730,Categories!$A:$A,0)))</f>
        <v/>
      </c>
      <c r="J2730" s="4"/>
      <c r="K2730" s="4"/>
      <c r="L2730" s="4"/>
      <c r="M2730" s="4"/>
      <c r="N2730" s="4"/>
      <c r="O2730" s="4"/>
      <c r="P2730" s="4"/>
      <c r="Q2730" s="4"/>
    </row>
    <row r="2731">
      <c r="A2731" s="5">
        <v>2730.0</v>
      </c>
      <c r="B2731" s="5" t="s">
        <v>3279</v>
      </c>
      <c r="C2731" s="5" t="s">
        <v>1166</v>
      </c>
      <c r="D2731" s="6">
        <f>IFERROR(__xludf.DUMMYFUNCTION("SPLIT(MID(C2731,2,LEN(C2731)-2), "","")"),1.0)</f>
        <v>1</v>
      </c>
      <c r="E2731" s="7"/>
      <c r="F2731" s="7"/>
      <c r="G2731" s="2" t="str">
        <f t="array" ref="G2731">IF(ISBLANK(D2731), "", INDEX(Categories!$B:$B,MATCH(D2731,Categories!$A:$A,0)))</f>
        <v>Automobile - Dealers</v>
      </c>
      <c r="H2731" s="7" t="str">
        <f t="array" ref="H2731">IF(ISBLANK(E2731), "", INDEX(Categories!$B:$B,MATCH(E2731,Categories!$A:$A,0)))</f>
        <v/>
      </c>
      <c r="I2731" s="7" t="str">
        <f t="array" ref="I2731">IF(ISBLANK(F2731), "", INDEX(Categories!$B:$B,MATCH(F2731,Categories!$A:$A,0)))</f>
        <v/>
      </c>
      <c r="J2731" s="4"/>
      <c r="K2731" s="4"/>
      <c r="L2731" s="4"/>
      <c r="M2731" s="4"/>
      <c r="N2731" s="4"/>
      <c r="O2731" s="4"/>
      <c r="P2731" s="4"/>
      <c r="Q2731" s="4"/>
    </row>
    <row r="2732">
      <c r="A2732" s="5">
        <v>2731.0</v>
      </c>
      <c r="B2732" s="5" t="s">
        <v>3280</v>
      </c>
      <c r="C2732" s="5" t="s">
        <v>1166</v>
      </c>
      <c r="D2732" s="6">
        <f>IFERROR(__xludf.DUMMYFUNCTION("SPLIT(MID(C2732,2,LEN(C2732)-2), "","")"),1.0)</f>
        <v>1</v>
      </c>
      <c r="E2732" s="7"/>
      <c r="F2732" s="7"/>
      <c r="G2732" s="2" t="str">
        <f t="array" ref="G2732">IF(ISBLANK(D2732), "", INDEX(Categories!$B:$B,MATCH(D2732,Categories!$A:$A,0)))</f>
        <v>Automobile - Dealers</v>
      </c>
      <c r="H2732" s="7" t="str">
        <f t="array" ref="H2732">IF(ISBLANK(E2732), "", INDEX(Categories!$B:$B,MATCH(E2732,Categories!$A:$A,0)))</f>
        <v/>
      </c>
      <c r="I2732" s="7" t="str">
        <f t="array" ref="I2732">IF(ISBLANK(F2732), "", INDEX(Categories!$B:$B,MATCH(F2732,Categories!$A:$A,0)))</f>
        <v/>
      </c>
      <c r="J2732" s="4"/>
      <c r="K2732" s="4"/>
      <c r="L2732" s="4"/>
      <c r="M2732" s="4"/>
      <c r="N2732" s="4"/>
      <c r="O2732" s="4"/>
      <c r="P2732" s="4"/>
      <c r="Q2732" s="4"/>
    </row>
    <row r="2733">
      <c r="A2733" s="5">
        <v>2732.0</v>
      </c>
      <c r="B2733" s="5" t="s">
        <v>3281</v>
      </c>
      <c r="C2733" s="5" t="s">
        <v>1166</v>
      </c>
      <c r="D2733" s="6">
        <f>IFERROR(__xludf.DUMMYFUNCTION("SPLIT(MID(C2733,2,LEN(C2733)-2), "","")"),1.0)</f>
        <v>1</v>
      </c>
      <c r="E2733" s="7"/>
      <c r="F2733" s="7"/>
      <c r="G2733" s="2" t="str">
        <f t="array" ref="G2733">IF(ISBLANK(D2733), "", INDEX(Categories!$B:$B,MATCH(D2733,Categories!$A:$A,0)))</f>
        <v>Automobile - Dealers</v>
      </c>
      <c r="H2733" s="7" t="str">
        <f t="array" ref="H2733">IF(ISBLANK(E2733), "", INDEX(Categories!$B:$B,MATCH(E2733,Categories!$A:$A,0)))</f>
        <v/>
      </c>
      <c r="I2733" s="7" t="str">
        <f t="array" ref="I2733">IF(ISBLANK(F2733), "", INDEX(Categories!$B:$B,MATCH(F2733,Categories!$A:$A,0)))</f>
        <v/>
      </c>
      <c r="J2733" s="4"/>
      <c r="K2733" s="4"/>
      <c r="L2733" s="4"/>
      <c r="M2733" s="4"/>
      <c r="N2733" s="4"/>
      <c r="O2733" s="4"/>
      <c r="P2733" s="4"/>
      <c r="Q2733" s="4"/>
    </row>
    <row r="2734">
      <c r="A2734" s="5">
        <v>2733.0</v>
      </c>
      <c r="B2734" s="5" t="s">
        <v>3282</v>
      </c>
      <c r="C2734" s="5" t="s">
        <v>1166</v>
      </c>
      <c r="D2734" s="6">
        <f>IFERROR(__xludf.DUMMYFUNCTION("SPLIT(MID(C2734,2,LEN(C2734)-2), "","")"),1.0)</f>
        <v>1</v>
      </c>
      <c r="E2734" s="7"/>
      <c r="F2734" s="7"/>
      <c r="G2734" s="2" t="str">
        <f t="array" ref="G2734">IF(ISBLANK(D2734), "", INDEX(Categories!$B:$B,MATCH(D2734,Categories!$A:$A,0)))</f>
        <v>Automobile - Dealers</v>
      </c>
      <c r="H2734" s="7" t="str">
        <f t="array" ref="H2734">IF(ISBLANK(E2734), "", INDEX(Categories!$B:$B,MATCH(E2734,Categories!$A:$A,0)))</f>
        <v/>
      </c>
      <c r="I2734" s="7" t="str">
        <f t="array" ref="I2734">IF(ISBLANK(F2734), "", INDEX(Categories!$B:$B,MATCH(F2734,Categories!$A:$A,0)))</f>
        <v/>
      </c>
      <c r="J2734" s="4"/>
      <c r="K2734" s="4"/>
      <c r="L2734" s="4"/>
      <c r="M2734" s="4"/>
      <c r="N2734" s="4"/>
      <c r="O2734" s="4"/>
      <c r="P2734" s="4"/>
      <c r="Q2734" s="4"/>
    </row>
    <row r="2735">
      <c r="A2735" s="5">
        <v>2734.0</v>
      </c>
      <c r="B2735" s="5" t="s">
        <v>3283</v>
      </c>
      <c r="C2735" s="5" t="s">
        <v>1166</v>
      </c>
      <c r="D2735" s="6">
        <f>IFERROR(__xludf.DUMMYFUNCTION("SPLIT(MID(C2735,2,LEN(C2735)-2), "","")"),1.0)</f>
        <v>1</v>
      </c>
      <c r="E2735" s="7"/>
      <c r="F2735" s="7"/>
      <c r="G2735" s="2" t="str">
        <f t="array" ref="G2735">IF(ISBLANK(D2735), "", INDEX(Categories!$B:$B,MATCH(D2735,Categories!$A:$A,0)))</f>
        <v>Automobile - Dealers</v>
      </c>
      <c r="H2735" s="7" t="str">
        <f t="array" ref="H2735">IF(ISBLANK(E2735), "", INDEX(Categories!$B:$B,MATCH(E2735,Categories!$A:$A,0)))</f>
        <v/>
      </c>
      <c r="I2735" s="7" t="str">
        <f t="array" ref="I2735">IF(ISBLANK(F2735), "", INDEX(Categories!$B:$B,MATCH(F2735,Categories!$A:$A,0)))</f>
        <v/>
      </c>
      <c r="J2735" s="4"/>
      <c r="K2735" s="4"/>
      <c r="L2735" s="4"/>
      <c r="M2735" s="4"/>
      <c r="N2735" s="4"/>
      <c r="O2735" s="4"/>
      <c r="P2735" s="4"/>
      <c r="Q2735" s="4"/>
    </row>
    <row r="2736">
      <c r="A2736" s="5">
        <v>2735.0</v>
      </c>
      <c r="B2736" s="5" t="s">
        <v>3284</v>
      </c>
      <c r="C2736" s="5" t="s">
        <v>1166</v>
      </c>
      <c r="D2736" s="6">
        <f>IFERROR(__xludf.DUMMYFUNCTION("SPLIT(MID(C2736,2,LEN(C2736)-2), "","")"),1.0)</f>
        <v>1</v>
      </c>
      <c r="E2736" s="7"/>
      <c r="F2736" s="7"/>
      <c r="G2736" s="2" t="str">
        <f t="array" ref="G2736">IF(ISBLANK(D2736), "", INDEX(Categories!$B:$B,MATCH(D2736,Categories!$A:$A,0)))</f>
        <v>Automobile - Dealers</v>
      </c>
      <c r="H2736" s="7" t="str">
        <f t="array" ref="H2736">IF(ISBLANK(E2736), "", INDEX(Categories!$B:$B,MATCH(E2736,Categories!$A:$A,0)))</f>
        <v/>
      </c>
      <c r="I2736" s="7" t="str">
        <f t="array" ref="I2736">IF(ISBLANK(F2736), "", INDEX(Categories!$B:$B,MATCH(F2736,Categories!$A:$A,0)))</f>
        <v/>
      </c>
      <c r="J2736" s="4"/>
      <c r="K2736" s="4"/>
      <c r="L2736" s="4"/>
      <c r="M2736" s="4"/>
      <c r="N2736" s="4"/>
      <c r="O2736" s="4"/>
      <c r="P2736" s="4"/>
      <c r="Q2736" s="4"/>
    </row>
    <row r="2737">
      <c r="A2737" s="5">
        <v>2736.0</v>
      </c>
      <c r="B2737" s="5" t="s">
        <v>3285</v>
      </c>
      <c r="C2737" s="5" t="s">
        <v>1166</v>
      </c>
      <c r="D2737" s="6">
        <f>IFERROR(__xludf.DUMMYFUNCTION("SPLIT(MID(C2737,2,LEN(C2737)-2), "","")"),1.0)</f>
        <v>1</v>
      </c>
      <c r="E2737" s="7"/>
      <c r="F2737" s="7"/>
      <c r="G2737" s="2" t="str">
        <f t="array" ref="G2737">IF(ISBLANK(D2737), "", INDEX(Categories!$B:$B,MATCH(D2737,Categories!$A:$A,0)))</f>
        <v>Automobile - Dealers</v>
      </c>
      <c r="H2737" s="7" t="str">
        <f t="array" ref="H2737">IF(ISBLANK(E2737), "", INDEX(Categories!$B:$B,MATCH(E2737,Categories!$A:$A,0)))</f>
        <v/>
      </c>
      <c r="I2737" s="7" t="str">
        <f t="array" ref="I2737">IF(ISBLANK(F2737), "", INDEX(Categories!$B:$B,MATCH(F2737,Categories!$A:$A,0)))</f>
        <v/>
      </c>
      <c r="J2737" s="4"/>
      <c r="K2737" s="4"/>
      <c r="L2737" s="4"/>
      <c r="M2737" s="4"/>
      <c r="N2737" s="4"/>
      <c r="O2737" s="4"/>
      <c r="P2737" s="4"/>
      <c r="Q2737" s="4"/>
    </row>
    <row r="2738">
      <c r="A2738" s="5">
        <v>2737.0</v>
      </c>
      <c r="B2738" s="5" t="s">
        <v>3286</v>
      </c>
      <c r="C2738" s="5" t="s">
        <v>1166</v>
      </c>
      <c r="D2738" s="6">
        <f>IFERROR(__xludf.DUMMYFUNCTION("SPLIT(MID(C2738,2,LEN(C2738)-2), "","")"),1.0)</f>
        <v>1</v>
      </c>
      <c r="E2738" s="7"/>
      <c r="F2738" s="7"/>
      <c r="G2738" s="2" t="str">
        <f t="array" ref="G2738">IF(ISBLANK(D2738), "", INDEX(Categories!$B:$B,MATCH(D2738,Categories!$A:$A,0)))</f>
        <v>Automobile - Dealers</v>
      </c>
      <c r="H2738" s="7" t="str">
        <f t="array" ref="H2738">IF(ISBLANK(E2738), "", INDEX(Categories!$B:$B,MATCH(E2738,Categories!$A:$A,0)))</f>
        <v/>
      </c>
      <c r="I2738" s="7" t="str">
        <f t="array" ref="I2738">IF(ISBLANK(F2738), "", INDEX(Categories!$B:$B,MATCH(F2738,Categories!$A:$A,0)))</f>
        <v/>
      </c>
      <c r="J2738" s="4"/>
      <c r="K2738" s="4"/>
      <c r="L2738" s="4"/>
      <c r="M2738" s="4"/>
      <c r="N2738" s="4"/>
      <c r="O2738" s="4"/>
      <c r="P2738" s="4"/>
      <c r="Q2738" s="4"/>
    </row>
    <row r="2739">
      <c r="A2739" s="5">
        <v>2738.0</v>
      </c>
      <c r="B2739" s="5" t="s">
        <v>3287</v>
      </c>
      <c r="C2739" s="5" t="s">
        <v>1166</v>
      </c>
      <c r="D2739" s="6">
        <f>IFERROR(__xludf.DUMMYFUNCTION("SPLIT(MID(C2739,2,LEN(C2739)-2), "","")"),1.0)</f>
        <v>1</v>
      </c>
      <c r="E2739" s="7"/>
      <c r="F2739" s="7"/>
      <c r="G2739" s="2" t="str">
        <f t="array" ref="G2739">IF(ISBLANK(D2739), "", INDEX(Categories!$B:$B,MATCH(D2739,Categories!$A:$A,0)))</f>
        <v>Automobile - Dealers</v>
      </c>
      <c r="H2739" s="7" t="str">
        <f t="array" ref="H2739">IF(ISBLANK(E2739), "", INDEX(Categories!$B:$B,MATCH(E2739,Categories!$A:$A,0)))</f>
        <v/>
      </c>
      <c r="I2739" s="7" t="str">
        <f t="array" ref="I2739">IF(ISBLANK(F2739), "", INDEX(Categories!$B:$B,MATCH(F2739,Categories!$A:$A,0)))</f>
        <v/>
      </c>
      <c r="J2739" s="4"/>
      <c r="K2739" s="4"/>
      <c r="L2739" s="4"/>
      <c r="M2739" s="4"/>
      <c r="N2739" s="4"/>
      <c r="O2739" s="4"/>
      <c r="P2739" s="4"/>
      <c r="Q2739" s="4"/>
    </row>
    <row r="2740">
      <c r="A2740" s="5">
        <v>2739.0</v>
      </c>
      <c r="B2740" s="5" t="s">
        <v>3288</v>
      </c>
      <c r="C2740" s="5" t="s">
        <v>1166</v>
      </c>
      <c r="D2740" s="6">
        <f>IFERROR(__xludf.DUMMYFUNCTION("SPLIT(MID(C2740,2,LEN(C2740)-2), "","")"),1.0)</f>
        <v>1</v>
      </c>
      <c r="E2740" s="7"/>
      <c r="F2740" s="7"/>
      <c r="G2740" s="2" t="str">
        <f t="array" ref="G2740">IF(ISBLANK(D2740), "", INDEX(Categories!$B:$B,MATCH(D2740,Categories!$A:$A,0)))</f>
        <v>Automobile - Dealers</v>
      </c>
      <c r="H2740" s="7" t="str">
        <f t="array" ref="H2740">IF(ISBLANK(E2740), "", INDEX(Categories!$B:$B,MATCH(E2740,Categories!$A:$A,0)))</f>
        <v/>
      </c>
      <c r="I2740" s="7" t="str">
        <f t="array" ref="I2740">IF(ISBLANK(F2740), "", INDEX(Categories!$B:$B,MATCH(F2740,Categories!$A:$A,0)))</f>
        <v/>
      </c>
      <c r="J2740" s="4"/>
      <c r="K2740" s="4"/>
      <c r="L2740" s="4"/>
      <c r="M2740" s="4"/>
      <c r="N2740" s="4"/>
      <c r="O2740" s="4"/>
      <c r="P2740" s="4"/>
      <c r="Q2740" s="4"/>
    </row>
    <row r="2741">
      <c r="A2741" s="5">
        <v>2740.0</v>
      </c>
      <c r="B2741" s="5" t="s">
        <v>3289</v>
      </c>
      <c r="C2741" s="5" t="s">
        <v>1166</v>
      </c>
      <c r="D2741" s="6">
        <f>IFERROR(__xludf.DUMMYFUNCTION("SPLIT(MID(C2741,2,LEN(C2741)-2), "","")"),1.0)</f>
        <v>1</v>
      </c>
      <c r="E2741" s="7"/>
      <c r="F2741" s="7"/>
      <c r="G2741" s="2" t="str">
        <f t="array" ref="G2741">IF(ISBLANK(D2741), "", INDEX(Categories!$B:$B,MATCH(D2741,Categories!$A:$A,0)))</f>
        <v>Automobile - Dealers</v>
      </c>
      <c r="H2741" s="7" t="str">
        <f t="array" ref="H2741">IF(ISBLANK(E2741), "", INDEX(Categories!$B:$B,MATCH(E2741,Categories!$A:$A,0)))</f>
        <v/>
      </c>
      <c r="I2741" s="7" t="str">
        <f t="array" ref="I2741">IF(ISBLANK(F2741), "", INDEX(Categories!$B:$B,MATCH(F2741,Categories!$A:$A,0)))</f>
        <v/>
      </c>
      <c r="J2741" s="4"/>
      <c r="K2741" s="4"/>
      <c r="L2741" s="4"/>
      <c r="M2741" s="4"/>
      <c r="N2741" s="4"/>
      <c r="O2741" s="4"/>
      <c r="P2741" s="4"/>
      <c r="Q2741" s="4"/>
    </row>
    <row r="2742">
      <c r="A2742" s="5">
        <v>2741.0</v>
      </c>
      <c r="B2742" s="5" t="s">
        <v>3290</v>
      </c>
      <c r="C2742" s="5" t="s">
        <v>1166</v>
      </c>
      <c r="D2742" s="6">
        <f>IFERROR(__xludf.DUMMYFUNCTION("SPLIT(MID(C2742,2,LEN(C2742)-2), "","")"),1.0)</f>
        <v>1</v>
      </c>
      <c r="E2742" s="7"/>
      <c r="F2742" s="7"/>
      <c r="G2742" s="2" t="str">
        <f t="array" ref="G2742">IF(ISBLANK(D2742), "", INDEX(Categories!$B:$B,MATCH(D2742,Categories!$A:$A,0)))</f>
        <v>Automobile - Dealers</v>
      </c>
      <c r="H2742" s="7" t="str">
        <f t="array" ref="H2742">IF(ISBLANK(E2742), "", INDEX(Categories!$B:$B,MATCH(E2742,Categories!$A:$A,0)))</f>
        <v/>
      </c>
      <c r="I2742" s="7" t="str">
        <f t="array" ref="I2742">IF(ISBLANK(F2742), "", INDEX(Categories!$B:$B,MATCH(F2742,Categories!$A:$A,0)))</f>
        <v/>
      </c>
      <c r="J2742" s="4"/>
      <c r="K2742" s="4"/>
      <c r="L2742" s="4"/>
      <c r="M2742" s="4"/>
      <c r="N2742" s="4"/>
      <c r="O2742" s="4"/>
      <c r="P2742" s="4"/>
      <c r="Q2742" s="4"/>
    </row>
    <row r="2743">
      <c r="A2743" s="5">
        <v>2742.0</v>
      </c>
      <c r="B2743" s="5" t="s">
        <v>3291</v>
      </c>
      <c r="C2743" s="5" t="s">
        <v>1166</v>
      </c>
      <c r="D2743" s="6">
        <f>IFERROR(__xludf.DUMMYFUNCTION("SPLIT(MID(C2743,2,LEN(C2743)-2), "","")"),1.0)</f>
        <v>1</v>
      </c>
      <c r="E2743" s="7"/>
      <c r="F2743" s="7"/>
      <c r="G2743" s="2" t="str">
        <f t="array" ref="G2743">IF(ISBLANK(D2743), "", INDEX(Categories!$B:$B,MATCH(D2743,Categories!$A:$A,0)))</f>
        <v>Automobile - Dealers</v>
      </c>
      <c r="H2743" s="7" t="str">
        <f t="array" ref="H2743">IF(ISBLANK(E2743), "", INDEX(Categories!$B:$B,MATCH(E2743,Categories!$A:$A,0)))</f>
        <v/>
      </c>
      <c r="I2743" s="7" t="str">
        <f t="array" ref="I2743">IF(ISBLANK(F2743), "", INDEX(Categories!$B:$B,MATCH(F2743,Categories!$A:$A,0)))</f>
        <v/>
      </c>
      <c r="J2743" s="4"/>
      <c r="K2743" s="4"/>
      <c r="L2743" s="4"/>
      <c r="M2743" s="4"/>
      <c r="N2743" s="4"/>
      <c r="O2743" s="4"/>
      <c r="P2743" s="4"/>
      <c r="Q2743" s="4"/>
    </row>
    <row r="2744">
      <c r="A2744" s="5">
        <v>2743.0</v>
      </c>
      <c r="B2744" s="5" t="s">
        <v>1752</v>
      </c>
      <c r="C2744" s="5" t="s">
        <v>1166</v>
      </c>
      <c r="D2744" s="6">
        <f>IFERROR(__xludf.DUMMYFUNCTION("SPLIT(MID(C2744,2,LEN(C2744)-2), "","")"),1.0)</f>
        <v>1</v>
      </c>
      <c r="E2744" s="7"/>
      <c r="F2744" s="7"/>
      <c r="G2744" s="2" t="str">
        <f t="array" ref="G2744">IF(ISBLANK(D2744), "", INDEX(Categories!$B:$B,MATCH(D2744,Categories!$A:$A,0)))</f>
        <v>Automobile - Dealers</v>
      </c>
      <c r="H2744" s="7" t="str">
        <f t="array" ref="H2744">IF(ISBLANK(E2744), "", INDEX(Categories!$B:$B,MATCH(E2744,Categories!$A:$A,0)))</f>
        <v/>
      </c>
      <c r="I2744" s="7" t="str">
        <f t="array" ref="I2744">IF(ISBLANK(F2744), "", INDEX(Categories!$B:$B,MATCH(F2744,Categories!$A:$A,0)))</f>
        <v/>
      </c>
      <c r="J2744" s="4"/>
      <c r="K2744" s="4"/>
      <c r="L2744" s="4"/>
      <c r="M2744" s="4"/>
      <c r="N2744" s="4"/>
      <c r="O2744" s="4"/>
      <c r="P2744" s="4"/>
      <c r="Q2744" s="4"/>
    </row>
    <row r="2745">
      <c r="A2745" s="5">
        <v>2744.0</v>
      </c>
      <c r="B2745" s="5" t="s">
        <v>3292</v>
      </c>
      <c r="C2745" s="5" t="s">
        <v>3293</v>
      </c>
      <c r="D2745" s="6">
        <f>IFERROR(__xludf.DUMMYFUNCTION("SPLIT(MID(C2745,2,LEN(C2745)-2), "","")"),98.0)</f>
        <v>98</v>
      </c>
      <c r="E2745" s="7"/>
      <c r="F2745" s="7"/>
      <c r="G2745" s="2" t="str">
        <f t="array" ref="G2745">IF(ISBLANK(D2745), "", INDEX(Categories!$B:$B,MATCH(D2745,Categories!$A:$A,0)))</f>
        <v>Motorcycles &amp; Motor Sports</v>
      </c>
      <c r="H2745" s="7" t="str">
        <f t="array" ref="H2745">IF(ISBLANK(E2745), "", INDEX(Categories!$B:$B,MATCH(E2745,Categories!$A:$A,0)))</f>
        <v/>
      </c>
      <c r="I2745" s="7" t="str">
        <f t="array" ref="I2745">IF(ISBLANK(F2745), "", INDEX(Categories!$B:$B,MATCH(F2745,Categories!$A:$A,0)))</f>
        <v/>
      </c>
      <c r="J2745" s="4"/>
      <c r="K2745" s="4"/>
      <c r="L2745" s="4"/>
      <c r="M2745" s="4"/>
      <c r="N2745" s="4"/>
      <c r="O2745" s="4"/>
      <c r="P2745" s="4"/>
      <c r="Q2745" s="4"/>
    </row>
    <row r="2746">
      <c r="A2746" s="5">
        <v>2745.0</v>
      </c>
      <c r="B2746" s="5" t="s">
        <v>3294</v>
      </c>
      <c r="C2746" s="5" t="s">
        <v>3293</v>
      </c>
      <c r="D2746" s="6">
        <f>IFERROR(__xludf.DUMMYFUNCTION("SPLIT(MID(C2746,2,LEN(C2746)-2), "","")"),98.0)</f>
        <v>98</v>
      </c>
      <c r="E2746" s="7"/>
      <c r="F2746" s="7"/>
      <c r="G2746" s="2" t="str">
        <f t="array" ref="G2746">IF(ISBLANK(D2746), "", INDEX(Categories!$B:$B,MATCH(D2746,Categories!$A:$A,0)))</f>
        <v>Motorcycles &amp; Motor Sports</v>
      </c>
      <c r="H2746" s="7" t="str">
        <f t="array" ref="H2746">IF(ISBLANK(E2746), "", INDEX(Categories!$B:$B,MATCH(E2746,Categories!$A:$A,0)))</f>
        <v/>
      </c>
      <c r="I2746" s="7" t="str">
        <f t="array" ref="I2746">IF(ISBLANK(F2746), "", INDEX(Categories!$B:$B,MATCH(F2746,Categories!$A:$A,0)))</f>
        <v/>
      </c>
      <c r="J2746" s="4"/>
      <c r="K2746" s="4"/>
      <c r="L2746" s="4"/>
      <c r="M2746" s="4"/>
      <c r="N2746" s="4"/>
      <c r="O2746" s="4"/>
      <c r="P2746" s="4"/>
      <c r="Q2746" s="4"/>
    </row>
    <row r="2747">
      <c r="A2747" s="5">
        <v>2746.0</v>
      </c>
      <c r="B2747" s="5" t="s">
        <v>2306</v>
      </c>
      <c r="C2747" s="5" t="s">
        <v>1166</v>
      </c>
      <c r="D2747" s="6">
        <f>IFERROR(__xludf.DUMMYFUNCTION("SPLIT(MID(C2747,2,LEN(C2747)-2), "","")"),1.0)</f>
        <v>1</v>
      </c>
      <c r="E2747" s="7"/>
      <c r="F2747" s="7"/>
      <c r="G2747" s="2" t="str">
        <f t="array" ref="G2747">IF(ISBLANK(D2747), "", INDEX(Categories!$B:$B,MATCH(D2747,Categories!$A:$A,0)))</f>
        <v>Automobile - Dealers</v>
      </c>
      <c r="H2747" s="7" t="str">
        <f t="array" ref="H2747">IF(ISBLANK(E2747), "", INDEX(Categories!$B:$B,MATCH(E2747,Categories!$A:$A,0)))</f>
        <v/>
      </c>
      <c r="I2747" s="7" t="str">
        <f t="array" ref="I2747">IF(ISBLANK(F2747), "", INDEX(Categories!$B:$B,MATCH(F2747,Categories!$A:$A,0)))</f>
        <v/>
      </c>
      <c r="J2747" s="4"/>
      <c r="K2747" s="4"/>
      <c r="L2747" s="4"/>
      <c r="M2747" s="4"/>
      <c r="N2747" s="4"/>
      <c r="O2747" s="4"/>
      <c r="P2747" s="4"/>
      <c r="Q2747" s="4"/>
    </row>
    <row r="2748">
      <c r="A2748" s="5">
        <v>2747.0</v>
      </c>
      <c r="B2748" s="5" t="s">
        <v>3295</v>
      </c>
      <c r="C2748" s="5" t="s">
        <v>3296</v>
      </c>
      <c r="D2748" s="6">
        <f>IFERROR(__xludf.DUMMYFUNCTION("SPLIT(MID(C2748,2,LEN(C2748)-2), "","")"),357.0)</f>
        <v>357</v>
      </c>
      <c r="E2748" s="7"/>
      <c r="F2748" s="7"/>
      <c r="G2748" s="2" t="str">
        <f t="array" ref="G2748">IF(ISBLANK(D2748), "", INDEX(Categories!$B:$B,MATCH(D2748,Categories!$A:$A,0)))</f>
        <v>Schools Academies Colleges &amp; Universities</v>
      </c>
      <c r="H2748" s="7" t="str">
        <f t="array" ref="H2748">IF(ISBLANK(E2748), "", INDEX(Categories!$B:$B,MATCH(E2748,Categories!$A:$A,0)))</f>
        <v/>
      </c>
      <c r="I2748" s="7" t="str">
        <f t="array" ref="I2748">IF(ISBLANK(F2748), "", INDEX(Categories!$B:$B,MATCH(F2748,Categories!$A:$A,0)))</f>
        <v/>
      </c>
      <c r="J2748" s="4"/>
      <c r="K2748" s="4"/>
      <c r="L2748" s="4"/>
      <c r="M2748" s="4"/>
      <c r="N2748" s="4"/>
      <c r="O2748" s="4"/>
      <c r="P2748" s="4"/>
      <c r="Q2748" s="4"/>
    </row>
    <row r="2749">
      <c r="A2749" s="5">
        <v>2748.0</v>
      </c>
      <c r="B2749" s="5" t="s">
        <v>3297</v>
      </c>
      <c r="C2749" s="5" t="s">
        <v>3296</v>
      </c>
      <c r="D2749" s="6">
        <f>IFERROR(__xludf.DUMMYFUNCTION("SPLIT(MID(C2749,2,LEN(C2749)-2), "","")"),357.0)</f>
        <v>357</v>
      </c>
      <c r="E2749" s="7"/>
      <c r="F2749" s="7"/>
      <c r="G2749" s="2" t="str">
        <f t="array" ref="G2749">IF(ISBLANK(D2749), "", INDEX(Categories!$B:$B,MATCH(D2749,Categories!$A:$A,0)))</f>
        <v>Schools Academies Colleges &amp; Universities</v>
      </c>
      <c r="H2749" s="7" t="str">
        <f t="array" ref="H2749">IF(ISBLANK(E2749), "", INDEX(Categories!$B:$B,MATCH(E2749,Categories!$A:$A,0)))</f>
        <v/>
      </c>
      <c r="I2749" s="7" t="str">
        <f t="array" ref="I2749">IF(ISBLANK(F2749), "", INDEX(Categories!$B:$B,MATCH(F2749,Categories!$A:$A,0)))</f>
        <v/>
      </c>
      <c r="J2749" s="4"/>
      <c r="K2749" s="4"/>
      <c r="L2749" s="4"/>
      <c r="M2749" s="4"/>
      <c r="N2749" s="4"/>
      <c r="O2749" s="4"/>
      <c r="P2749" s="4"/>
      <c r="Q2749" s="4"/>
    </row>
    <row r="2750">
      <c r="A2750" s="5">
        <v>2749.0</v>
      </c>
      <c r="B2750" s="5" t="s">
        <v>3298</v>
      </c>
      <c r="C2750" s="5" t="s">
        <v>3296</v>
      </c>
      <c r="D2750" s="6">
        <f>IFERROR(__xludf.DUMMYFUNCTION("SPLIT(MID(C2750,2,LEN(C2750)-2), "","")"),357.0)</f>
        <v>357</v>
      </c>
      <c r="E2750" s="7"/>
      <c r="F2750" s="7"/>
      <c r="G2750" s="2" t="str">
        <f t="array" ref="G2750">IF(ISBLANK(D2750), "", INDEX(Categories!$B:$B,MATCH(D2750,Categories!$A:$A,0)))</f>
        <v>Schools Academies Colleges &amp; Universities</v>
      </c>
      <c r="H2750" s="7" t="str">
        <f t="array" ref="H2750">IF(ISBLANK(E2750), "", INDEX(Categories!$B:$B,MATCH(E2750,Categories!$A:$A,0)))</f>
        <v/>
      </c>
      <c r="I2750" s="7" t="str">
        <f t="array" ref="I2750">IF(ISBLANK(F2750), "", INDEX(Categories!$B:$B,MATCH(F2750,Categories!$A:$A,0)))</f>
        <v/>
      </c>
      <c r="J2750" s="4"/>
      <c r="K2750" s="4"/>
      <c r="L2750" s="4"/>
      <c r="M2750" s="4"/>
      <c r="N2750" s="4"/>
      <c r="O2750" s="4"/>
      <c r="P2750" s="4"/>
      <c r="Q2750" s="4"/>
    </row>
    <row r="2751">
      <c r="A2751" s="5">
        <v>2750.0</v>
      </c>
      <c r="B2751" s="5" t="s">
        <v>3299</v>
      </c>
      <c r="C2751" s="5" t="s">
        <v>3296</v>
      </c>
      <c r="D2751" s="6">
        <f>IFERROR(__xludf.DUMMYFUNCTION("SPLIT(MID(C2751,2,LEN(C2751)-2), "","")"),357.0)</f>
        <v>357</v>
      </c>
      <c r="E2751" s="7"/>
      <c r="F2751" s="7"/>
      <c r="G2751" s="2" t="str">
        <f t="array" ref="G2751">IF(ISBLANK(D2751), "", INDEX(Categories!$B:$B,MATCH(D2751,Categories!$A:$A,0)))</f>
        <v>Schools Academies Colleges &amp; Universities</v>
      </c>
      <c r="H2751" s="7" t="str">
        <f t="array" ref="H2751">IF(ISBLANK(E2751), "", INDEX(Categories!$B:$B,MATCH(E2751,Categories!$A:$A,0)))</f>
        <v/>
      </c>
      <c r="I2751" s="7" t="str">
        <f t="array" ref="I2751">IF(ISBLANK(F2751), "", INDEX(Categories!$B:$B,MATCH(F2751,Categories!$A:$A,0)))</f>
        <v/>
      </c>
      <c r="J2751" s="4"/>
      <c r="K2751" s="4"/>
      <c r="L2751" s="4"/>
      <c r="M2751" s="4"/>
      <c r="N2751" s="4"/>
      <c r="O2751" s="4"/>
      <c r="P2751" s="4"/>
      <c r="Q2751" s="4"/>
    </row>
    <row r="2752">
      <c r="A2752" s="5">
        <v>2751.0</v>
      </c>
      <c r="B2752" s="5" t="s">
        <v>3300</v>
      </c>
      <c r="C2752" s="5" t="s">
        <v>3296</v>
      </c>
      <c r="D2752" s="6">
        <f>IFERROR(__xludf.DUMMYFUNCTION("SPLIT(MID(C2752,2,LEN(C2752)-2), "","")"),357.0)</f>
        <v>357</v>
      </c>
      <c r="E2752" s="7"/>
      <c r="F2752" s="7"/>
      <c r="G2752" s="2" t="str">
        <f t="array" ref="G2752">IF(ISBLANK(D2752), "", INDEX(Categories!$B:$B,MATCH(D2752,Categories!$A:$A,0)))</f>
        <v>Schools Academies Colleges &amp; Universities</v>
      </c>
      <c r="H2752" s="7" t="str">
        <f t="array" ref="H2752">IF(ISBLANK(E2752), "", INDEX(Categories!$B:$B,MATCH(E2752,Categories!$A:$A,0)))</f>
        <v/>
      </c>
      <c r="I2752" s="7" t="str">
        <f t="array" ref="I2752">IF(ISBLANK(F2752), "", INDEX(Categories!$B:$B,MATCH(F2752,Categories!$A:$A,0)))</f>
        <v/>
      </c>
      <c r="J2752" s="4"/>
      <c r="K2752" s="4"/>
      <c r="L2752" s="4"/>
      <c r="M2752" s="4"/>
      <c r="N2752" s="4"/>
      <c r="O2752" s="4"/>
      <c r="P2752" s="4"/>
      <c r="Q2752" s="4"/>
    </row>
    <row r="2753">
      <c r="A2753" s="5">
        <v>2752.0</v>
      </c>
      <c r="B2753" s="5" t="s">
        <v>3301</v>
      </c>
      <c r="C2753" s="5" t="s">
        <v>3296</v>
      </c>
      <c r="D2753" s="6">
        <f>IFERROR(__xludf.DUMMYFUNCTION("SPLIT(MID(C2753,2,LEN(C2753)-2), "","")"),357.0)</f>
        <v>357</v>
      </c>
      <c r="E2753" s="7"/>
      <c r="F2753" s="7"/>
      <c r="G2753" s="2" t="str">
        <f t="array" ref="G2753">IF(ISBLANK(D2753), "", INDEX(Categories!$B:$B,MATCH(D2753,Categories!$A:$A,0)))</f>
        <v>Schools Academies Colleges &amp; Universities</v>
      </c>
      <c r="H2753" s="7" t="str">
        <f t="array" ref="H2753">IF(ISBLANK(E2753), "", INDEX(Categories!$B:$B,MATCH(E2753,Categories!$A:$A,0)))</f>
        <v/>
      </c>
      <c r="I2753" s="7" t="str">
        <f t="array" ref="I2753">IF(ISBLANK(F2753), "", INDEX(Categories!$B:$B,MATCH(F2753,Categories!$A:$A,0)))</f>
        <v/>
      </c>
      <c r="J2753" s="4"/>
      <c r="K2753" s="4"/>
      <c r="L2753" s="4"/>
      <c r="M2753" s="4"/>
      <c r="N2753" s="4"/>
      <c r="O2753" s="4"/>
      <c r="P2753" s="4"/>
      <c r="Q2753" s="4"/>
    </row>
    <row r="2754">
      <c r="A2754" s="5">
        <v>2753.0</v>
      </c>
      <c r="B2754" s="5" t="s">
        <v>3302</v>
      </c>
      <c r="C2754" s="5" t="s">
        <v>3296</v>
      </c>
      <c r="D2754" s="6">
        <f>IFERROR(__xludf.DUMMYFUNCTION("SPLIT(MID(C2754,2,LEN(C2754)-2), "","")"),357.0)</f>
        <v>357</v>
      </c>
      <c r="E2754" s="7"/>
      <c r="F2754" s="7"/>
      <c r="G2754" s="2" t="str">
        <f t="array" ref="G2754">IF(ISBLANK(D2754), "", INDEX(Categories!$B:$B,MATCH(D2754,Categories!$A:$A,0)))</f>
        <v>Schools Academies Colleges &amp; Universities</v>
      </c>
      <c r="H2754" s="7" t="str">
        <f t="array" ref="H2754">IF(ISBLANK(E2754), "", INDEX(Categories!$B:$B,MATCH(E2754,Categories!$A:$A,0)))</f>
        <v/>
      </c>
      <c r="I2754" s="7" t="str">
        <f t="array" ref="I2754">IF(ISBLANK(F2754), "", INDEX(Categories!$B:$B,MATCH(F2754,Categories!$A:$A,0)))</f>
        <v/>
      </c>
      <c r="J2754" s="4"/>
      <c r="K2754" s="4"/>
      <c r="L2754" s="4"/>
      <c r="M2754" s="4"/>
      <c r="N2754" s="4"/>
      <c r="O2754" s="4"/>
      <c r="P2754" s="4"/>
      <c r="Q2754" s="4"/>
    </row>
    <row r="2755">
      <c r="A2755" s="5">
        <v>2754.0</v>
      </c>
      <c r="B2755" s="5" t="s">
        <v>3303</v>
      </c>
      <c r="C2755" s="5" t="s">
        <v>3296</v>
      </c>
      <c r="D2755" s="6">
        <f>IFERROR(__xludf.DUMMYFUNCTION("SPLIT(MID(C2755,2,LEN(C2755)-2), "","")"),357.0)</f>
        <v>357</v>
      </c>
      <c r="E2755" s="7"/>
      <c r="F2755" s="7"/>
      <c r="G2755" s="2" t="str">
        <f t="array" ref="G2755">IF(ISBLANK(D2755), "", INDEX(Categories!$B:$B,MATCH(D2755,Categories!$A:$A,0)))</f>
        <v>Schools Academies Colleges &amp; Universities</v>
      </c>
      <c r="H2755" s="7" t="str">
        <f t="array" ref="H2755">IF(ISBLANK(E2755), "", INDEX(Categories!$B:$B,MATCH(E2755,Categories!$A:$A,0)))</f>
        <v/>
      </c>
      <c r="I2755" s="7" t="str">
        <f t="array" ref="I2755">IF(ISBLANK(F2755), "", INDEX(Categories!$B:$B,MATCH(F2755,Categories!$A:$A,0)))</f>
        <v/>
      </c>
      <c r="J2755" s="4"/>
      <c r="K2755" s="4"/>
      <c r="L2755" s="4"/>
      <c r="M2755" s="4"/>
      <c r="N2755" s="4"/>
      <c r="O2755" s="4"/>
      <c r="P2755" s="4"/>
      <c r="Q2755" s="4"/>
    </row>
    <row r="2756">
      <c r="A2756" s="5">
        <v>2755.0</v>
      </c>
      <c r="B2756" s="5" t="s">
        <v>3304</v>
      </c>
      <c r="C2756" s="5" t="s">
        <v>3296</v>
      </c>
      <c r="D2756" s="6">
        <f>IFERROR(__xludf.DUMMYFUNCTION("SPLIT(MID(C2756,2,LEN(C2756)-2), "","")"),357.0)</f>
        <v>357</v>
      </c>
      <c r="E2756" s="7"/>
      <c r="F2756" s="7"/>
      <c r="G2756" s="2" t="str">
        <f t="array" ref="G2756">IF(ISBLANK(D2756), "", INDEX(Categories!$B:$B,MATCH(D2756,Categories!$A:$A,0)))</f>
        <v>Schools Academies Colleges &amp; Universities</v>
      </c>
      <c r="H2756" s="7" t="str">
        <f t="array" ref="H2756">IF(ISBLANK(E2756), "", INDEX(Categories!$B:$B,MATCH(E2756,Categories!$A:$A,0)))</f>
        <v/>
      </c>
      <c r="I2756" s="7" t="str">
        <f t="array" ref="I2756">IF(ISBLANK(F2756), "", INDEX(Categories!$B:$B,MATCH(F2756,Categories!$A:$A,0)))</f>
        <v/>
      </c>
      <c r="J2756" s="4"/>
      <c r="K2756" s="4"/>
      <c r="L2756" s="4"/>
      <c r="M2756" s="4"/>
      <c r="N2756" s="4"/>
      <c r="O2756" s="4"/>
      <c r="P2756" s="4"/>
      <c r="Q2756" s="4"/>
    </row>
    <row r="2757">
      <c r="A2757" s="5">
        <v>2756.0</v>
      </c>
      <c r="B2757" s="5" t="s">
        <v>3305</v>
      </c>
      <c r="C2757" s="5" t="s">
        <v>3296</v>
      </c>
      <c r="D2757" s="6">
        <f>IFERROR(__xludf.DUMMYFUNCTION("SPLIT(MID(C2757,2,LEN(C2757)-2), "","")"),357.0)</f>
        <v>357</v>
      </c>
      <c r="E2757" s="7"/>
      <c r="F2757" s="7"/>
      <c r="G2757" s="2" t="str">
        <f t="array" ref="G2757">IF(ISBLANK(D2757), "", INDEX(Categories!$B:$B,MATCH(D2757,Categories!$A:$A,0)))</f>
        <v>Schools Academies Colleges &amp; Universities</v>
      </c>
      <c r="H2757" s="7" t="str">
        <f t="array" ref="H2757">IF(ISBLANK(E2757), "", INDEX(Categories!$B:$B,MATCH(E2757,Categories!$A:$A,0)))</f>
        <v/>
      </c>
      <c r="I2757" s="7" t="str">
        <f t="array" ref="I2757">IF(ISBLANK(F2757), "", INDEX(Categories!$B:$B,MATCH(F2757,Categories!$A:$A,0)))</f>
        <v/>
      </c>
      <c r="J2757" s="4"/>
      <c r="K2757" s="4"/>
      <c r="L2757" s="4"/>
      <c r="M2757" s="4"/>
      <c r="N2757" s="4"/>
      <c r="O2757" s="4"/>
      <c r="P2757" s="4"/>
      <c r="Q2757" s="4"/>
    </row>
    <row r="2758">
      <c r="A2758" s="5">
        <v>2757.0</v>
      </c>
      <c r="B2758" s="5" t="s">
        <v>3306</v>
      </c>
      <c r="C2758" s="5" t="s">
        <v>3296</v>
      </c>
      <c r="D2758" s="6">
        <f>IFERROR(__xludf.DUMMYFUNCTION("SPLIT(MID(C2758,2,LEN(C2758)-2), "","")"),357.0)</f>
        <v>357</v>
      </c>
      <c r="E2758" s="7"/>
      <c r="F2758" s="7"/>
      <c r="G2758" s="2" t="str">
        <f t="array" ref="G2758">IF(ISBLANK(D2758), "", INDEX(Categories!$B:$B,MATCH(D2758,Categories!$A:$A,0)))</f>
        <v>Schools Academies Colleges &amp; Universities</v>
      </c>
      <c r="H2758" s="7" t="str">
        <f t="array" ref="H2758">IF(ISBLANK(E2758), "", INDEX(Categories!$B:$B,MATCH(E2758,Categories!$A:$A,0)))</f>
        <v/>
      </c>
      <c r="I2758" s="7" t="str">
        <f t="array" ref="I2758">IF(ISBLANK(F2758), "", INDEX(Categories!$B:$B,MATCH(F2758,Categories!$A:$A,0)))</f>
        <v/>
      </c>
      <c r="J2758" s="4"/>
      <c r="K2758" s="4"/>
      <c r="L2758" s="4"/>
      <c r="M2758" s="4"/>
      <c r="N2758" s="4"/>
      <c r="O2758" s="4"/>
      <c r="P2758" s="4"/>
      <c r="Q2758" s="4"/>
    </row>
    <row r="2759">
      <c r="A2759" s="5">
        <v>2758.0</v>
      </c>
      <c r="B2759" s="5" t="s">
        <v>3307</v>
      </c>
      <c r="C2759" s="5" t="s">
        <v>3296</v>
      </c>
      <c r="D2759" s="6">
        <f>IFERROR(__xludf.DUMMYFUNCTION("SPLIT(MID(C2759,2,LEN(C2759)-2), "","")"),357.0)</f>
        <v>357</v>
      </c>
      <c r="E2759" s="7"/>
      <c r="F2759" s="7"/>
      <c r="G2759" s="2" t="str">
        <f t="array" ref="G2759">IF(ISBLANK(D2759), "", INDEX(Categories!$B:$B,MATCH(D2759,Categories!$A:$A,0)))</f>
        <v>Schools Academies Colleges &amp; Universities</v>
      </c>
      <c r="H2759" s="7" t="str">
        <f t="array" ref="H2759">IF(ISBLANK(E2759), "", INDEX(Categories!$B:$B,MATCH(E2759,Categories!$A:$A,0)))</f>
        <v/>
      </c>
      <c r="I2759" s="7" t="str">
        <f t="array" ref="I2759">IF(ISBLANK(F2759), "", INDEX(Categories!$B:$B,MATCH(F2759,Categories!$A:$A,0)))</f>
        <v/>
      </c>
      <c r="J2759" s="4"/>
      <c r="K2759" s="4"/>
      <c r="L2759" s="4"/>
      <c r="M2759" s="4"/>
      <c r="N2759" s="4"/>
      <c r="O2759" s="4"/>
      <c r="P2759" s="4"/>
      <c r="Q2759" s="4"/>
    </row>
    <row r="2760">
      <c r="A2760" s="5">
        <v>2759.0</v>
      </c>
      <c r="B2760" s="5" t="s">
        <v>3308</v>
      </c>
      <c r="C2760" s="5" t="s">
        <v>3296</v>
      </c>
      <c r="D2760" s="6">
        <f>IFERROR(__xludf.DUMMYFUNCTION("SPLIT(MID(C2760,2,LEN(C2760)-2), "","")"),357.0)</f>
        <v>357</v>
      </c>
      <c r="E2760" s="7"/>
      <c r="F2760" s="7"/>
      <c r="G2760" s="2" t="str">
        <f t="array" ref="G2760">IF(ISBLANK(D2760), "", INDEX(Categories!$B:$B,MATCH(D2760,Categories!$A:$A,0)))</f>
        <v>Schools Academies Colleges &amp; Universities</v>
      </c>
      <c r="H2760" s="7" t="str">
        <f t="array" ref="H2760">IF(ISBLANK(E2760), "", INDEX(Categories!$B:$B,MATCH(E2760,Categories!$A:$A,0)))</f>
        <v/>
      </c>
      <c r="I2760" s="7" t="str">
        <f t="array" ref="I2760">IF(ISBLANK(F2760), "", INDEX(Categories!$B:$B,MATCH(F2760,Categories!$A:$A,0)))</f>
        <v/>
      </c>
      <c r="J2760" s="4"/>
      <c r="K2760" s="4"/>
      <c r="L2760" s="4"/>
      <c r="M2760" s="4"/>
      <c r="N2760" s="4"/>
      <c r="O2760" s="4"/>
      <c r="P2760" s="4"/>
      <c r="Q2760" s="4"/>
    </row>
    <row r="2761">
      <c r="A2761" s="5">
        <v>2760.0</v>
      </c>
      <c r="B2761" s="5" t="s">
        <v>3309</v>
      </c>
      <c r="C2761" s="5" t="s">
        <v>3296</v>
      </c>
      <c r="D2761" s="6">
        <f>IFERROR(__xludf.DUMMYFUNCTION("SPLIT(MID(C2761,2,LEN(C2761)-2), "","")"),357.0)</f>
        <v>357</v>
      </c>
      <c r="E2761" s="7"/>
      <c r="F2761" s="7"/>
      <c r="G2761" s="2" t="str">
        <f t="array" ref="G2761">IF(ISBLANK(D2761), "", INDEX(Categories!$B:$B,MATCH(D2761,Categories!$A:$A,0)))</f>
        <v>Schools Academies Colleges &amp; Universities</v>
      </c>
      <c r="H2761" s="7" t="str">
        <f t="array" ref="H2761">IF(ISBLANK(E2761), "", INDEX(Categories!$B:$B,MATCH(E2761,Categories!$A:$A,0)))</f>
        <v/>
      </c>
      <c r="I2761" s="7" t="str">
        <f t="array" ref="I2761">IF(ISBLANK(F2761), "", INDEX(Categories!$B:$B,MATCH(F2761,Categories!$A:$A,0)))</f>
        <v/>
      </c>
      <c r="J2761" s="4"/>
      <c r="K2761" s="4"/>
      <c r="L2761" s="4"/>
      <c r="M2761" s="4"/>
      <c r="N2761" s="4"/>
      <c r="O2761" s="4"/>
      <c r="P2761" s="4"/>
      <c r="Q2761" s="4"/>
    </row>
    <row r="2762">
      <c r="A2762" s="5">
        <v>2761.0</v>
      </c>
      <c r="B2762" s="5" t="s">
        <v>3310</v>
      </c>
      <c r="C2762" s="5" t="s">
        <v>3296</v>
      </c>
      <c r="D2762" s="6">
        <f>IFERROR(__xludf.DUMMYFUNCTION("SPLIT(MID(C2762,2,LEN(C2762)-2), "","")"),357.0)</f>
        <v>357</v>
      </c>
      <c r="E2762" s="7"/>
      <c r="F2762" s="7"/>
      <c r="G2762" s="2" t="str">
        <f t="array" ref="G2762">IF(ISBLANK(D2762), "", INDEX(Categories!$B:$B,MATCH(D2762,Categories!$A:$A,0)))</f>
        <v>Schools Academies Colleges &amp; Universities</v>
      </c>
      <c r="H2762" s="7" t="str">
        <f t="array" ref="H2762">IF(ISBLANK(E2762), "", INDEX(Categories!$B:$B,MATCH(E2762,Categories!$A:$A,0)))</f>
        <v/>
      </c>
      <c r="I2762" s="7" t="str">
        <f t="array" ref="I2762">IF(ISBLANK(F2762), "", INDEX(Categories!$B:$B,MATCH(F2762,Categories!$A:$A,0)))</f>
        <v/>
      </c>
      <c r="J2762" s="4"/>
      <c r="K2762" s="4"/>
      <c r="L2762" s="4"/>
      <c r="M2762" s="4"/>
      <c r="N2762" s="4"/>
      <c r="O2762" s="4"/>
      <c r="P2762" s="4"/>
      <c r="Q2762" s="4"/>
    </row>
    <row r="2763">
      <c r="A2763" s="5">
        <v>2762.0</v>
      </c>
      <c r="B2763" s="5" t="s">
        <v>3311</v>
      </c>
      <c r="C2763" s="5" t="s">
        <v>3296</v>
      </c>
      <c r="D2763" s="6">
        <f>IFERROR(__xludf.DUMMYFUNCTION("SPLIT(MID(C2763,2,LEN(C2763)-2), "","")"),357.0)</f>
        <v>357</v>
      </c>
      <c r="E2763" s="7"/>
      <c r="F2763" s="7"/>
      <c r="G2763" s="2" t="str">
        <f t="array" ref="G2763">IF(ISBLANK(D2763), "", INDEX(Categories!$B:$B,MATCH(D2763,Categories!$A:$A,0)))</f>
        <v>Schools Academies Colleges &amp; Universities</v>
      </c>
      <c r="H2763" s="7" t="str">
        <f t="array" ref="H2763">IF(ISBLANK(E2763), "", INDEX(Categories!$B:$B,MATCH(E2763,Categories!$A:$A,0)))</f>
        <v/>
      </c>
      <c r="I2763" s="7" t="str">
        <f t="array" ref="I2763">IF(ISBLANK(F2763), "", INDEX(Categories!$B:$B,MATCH(F2763,Categories!$A:$A,0)))</f>
        <v/>
      </c>
      <c r="J2763" s="4"/>
      <c r="K2763" s="4"/>
      <c r="L2763" s="4"/>
      <c r="M2763" s="4"/>
      <c r="N2763" s="4"/>
      <c r="O2763" s="4"/>
      <c r="P2763" s="4"/>
      <c r="Q2763" s="4"/>
    </row>
    <row r="2764">
      <c r="A2764" s="5">
        <v>2763.0</v>
      </c>
      <c r="B2764" s="5" t="s">
        <v>3312</v>
      </c>
      <c r="C2764" s="5" t="s">
        <v>3296</v>
      </c>
      <c r="D2764" s="6">
        <f>IFERROR(__xludf.DUMMYFUNCTION("SPLIT(MID(C2764,2,LEN(C2764)-2), "","")"),357.0)</f>
        <v>357</v>
      </c>
      <c r="E2764" s="7"/>
      <c r="F2764" s="7"/>
      <c r="G2764" s="2" t="str">
        <f t="array" ref="G2764">IF(ISBLANK(D2764), "", INDEX(Categories!$B:$B,MATCH(D2764,Categories!$A:$A,0)))</f>
        <v>Schools Academies Colleges &amp; Universities</v>
      </c>
      <c r="H2764" s="7" t="str">
        <f t="array" ref="H2764">IF(ISBLANK(E2764), "", INDEX(Categories!$B:$B,MATCH(E2764,Categories!$A:$A,0)))</f>
        <v/>
      </c>
      <c r="I2764" s="7" t="str">
        <f t="array" ref="I2764">IF(ISBLANK(F2764), "", INDEX(Categories!$B:$B,MATCH(F2764,Categories!$A:$A,0)))</f>
        <v/>
      </c>
      <c r="J2764" s="4"/>
      <c r="K2764" s="4"/>
      <c r="L2764" s="4"/>
      <c r="M2764" s="4"/>
      <c r="N2764" s="4"/>
      <c r="O2764" s="4"/>
      <c r="P2764" s="4"/>
      <c r="Q2764" s="4"/>
    </row>
    <row r="2765">
      <c r="A2765" s="5">
        <v>2764.0</v>
      </c>
      <c r="B2765" s="5" t="s">
        <v>3313</v>
      </c>
      <c r="C2765" s="5" t="s">
        <v>3296</v>
      </c>
      <c r="D2765" s="6">
        <f>IFERROR(__xludf.DUMMYFUNCTION("SPLIT(MID(C2765,2,LEN(C2765)-2), "","")"),357.0)</f>
        <v>357</v>
      </c>
      <c r="E2765" s="7"/>
      <c r="F2765" s="7"/>
      <c r="G2765" s="2" t="str">
        <f t="array" ref="G2765">IF(ISBLANK(D2765), "", INDEX(Categories!$B:$B,MATCH(D2765,Categories!$A:$A,0)))</f>
        <v>Schools Academies Colleges &amp; Universities</v>
      </c>
      <c r="H2765" s="7" t="str">
        <f t="array" ref="H2765">IF(ISBLANK(E2765), "", INDEX(Categories!$B:$B,MATCH(E2765,Categories!$A:$A,0)))</f>
        <v/>
      </c>
      <c r="I2765" s="7" t="str">
        <f t="array" ref="I2765">IF(ISBLANK(F2765), "", INDEX(Categories!$B:$B,MATCH(F2765,Categories!$A:$A,0)))</f>
        <v/>
      </c>
      <c r="J2765" s="4"/>
      <c r="K2765" s="4"/>
      <c r="L2765" s="4"/>
      <c r="M2765" s="4"/>
      <c r="N2765" s="4"/>
      <c r="O2765" s="4"/>
      <c r="P2765" s="4"/>
      <c r="Q2765" s="4"/>
    </row>
    <row r="2766">
      <c r="A2766" s="5">
        <v>2765.0</v>
      </c>
      <c r="B2766" s="5" t="s">
        <v>3314</v>
      </c>
      <c r="C2766" s="5" t="s">
        <v>3296</v>
      </c>
      <c r="D2766" s="6">
        <f>IFERROR(__xludf.DUMMYFUNCTION("SPLIT(MID(C2766,2,LEN(C2766)-2), "","")"),357.0)</f>
        <v>357</v>
      </c>
      <c r="E2766" s="7"/>
      <c r="F2766" s="7"/>
      <c r="G2766" s="2" t="str">
        <f t="array" ref="G2766">IF(ISBLANK(D2766), "", INDEX(Categories!$B:$B,MATCH(D2766,Categories!$A:$A,0)))</f>
        <v>Schools Academies Colleges &amp; Universities</v>
      </c>
      <c r="H2766" s="7" t="str">
        <f t="array" ref="H2766">IF(ISBLANK(E2766), "", INDEX(Categories!$B:$B,MATCH(E2766,Categories!$A:$A,0)))</f>
        <v/>
      </c>
      <c r="I2766" s="7" t="str">
        <f t="array" ref="I2766">IF(ISBLANK(F2766), "", INDEX(Categories!$B:$B,MATCH(F2766,Categories!$A:$A,0)))</f>
        <v/>
      </c>
      <c r="J2766" s="4"/>
      <c r="K2766" s="4"/>
      <c r="L2766" s="4"/>
      <c r="M2766" s="4"/>
      <c r="N2766" s="4"/>
      <c r="O2766" s="4"/>
      <c r="P2766" s="4"/>
      <c r="Q2766" s="4"/>
    </row>
    <row r="2767">
      <c r="A2767" s="5">
        <v>2766.0</v>
      </c>
      <c r="B2767" s="5" t="s">
        <v>3315</v>
      </c>
      <c r="C2767" s="5" t="s">
        <v>3296</v>
      </c>
      <c r="D2767" s="6">
        <f>IFERROR(__xludf.DUMMYFUNCTION("SPLIT(MID(C2767,2,LEN(C2767)-2), "","")"),357.0)</f>
        <v>357</v>
      </c>
      <c r="E2767" s="7"/>
      <c r="F2767" s="7"/>
      <c r="G2767" s="2" t="str">
        <f t="array" ref="G2767">IF(ISBLANK(D2767), "", INDEX(Categories!$B:$B,MATCH(D2767,Categories!$A:$A,0)))</f>
        <v>Schools Academies Colleges &amp; Universities</v>
      </c>
      <c r="H2767" s="7" t="str">
        <f t="array" ref="H2767">IF(ISBLANK(E2767), "", INDEX(Categories!$B:$B,MATCH(E2767,Categories!$A:$A,0)))</f>
        <v/>
      </c>
      <c r="I2767" s="7" t="str">
        <f t="array" ref="I2767">IF(ISBLANK(F2767), "", INDEX(Categories!$B:$B,MATCH(F2767,Categories!$A:$A,0)))</f>
        <v/>
      </c>
      <c r="J2767" s="4"/>
      <c r="K2767" s="4"/>
      <c r="L2767" s="4"/>
      <c r="M2767" s="4"/>
      <c r="N2767" s="4"/>
      <c r="O2767" s="4"/>
      <c r="P2767" s="4"/>
      <c r="Q2767" s="4"/>
    </row>
    <row r="2768">
      <c r="A2768" s="5">
        <v>2767.0</v>
      </c>
      <c r="B2768" s="5" t="s">
        <v>3316</v>
      </c>
      <c r="C2768" s="5" t="s">
        <v>3296</v>
      </c>
      <c r="D2768" s="6">
        <f>IFERROR(__xludf.DUMMYFUNCTION("SPLIT(MID(C2768,2,LEN(C2768)-2), "","")"),357.0)</f>
        <v>357</v>
      </c>
      <c r="E2768" s="7"/>
      <c r="F2768" s="7"/>
      <c r="G2768" s="2" t="str">
        <f t="array" ref="G2768">IF(ISBLANK(D2768), "", INDEX(Categories!$B:$B,MATCH(D2768,Categories!$A:$A,0)))</f>
        <v>Schools Academies Colleges &amp; Universities</v>
      </c>
      <c r="H2768" s="7" t="str">
        <f t="array" ref="H2768">IF(ISBLANK(E2768), "", INDEX(Categories!$B:$B,MATCH(E2768,Categories!$A:$A,0)))</f>
        <v/>
      </c>
      <c r="I2768" s="7" t="str">
        <f t="array" ref="I2768">IF(ISBLANK(F2768), "", INDEX(Categories!$B:$B,MATCH(F2768,Categories!$A:$A,0)))</f>
        <v/>
      </c>
      <c r="J2768" s="4"/>
      <c r="K2768" s="4"/>
      <c r="L2768" s="4"/>
      <c r="M2768" s="4"/>
      <c r="N2768" s="4"/>
      <c r="O2768" s="4"/>
      <c r="P2768" s="4"/>
      <c r="Q2768" s="4"/>
    </row>
    <row r="2769">
      <c r="A2769" s="5">
        <v>2768.0</v>
      </c>
      <c r="B2769" s="5" t="s">
        <v>3317</v>
      </c>
      <c r="C2769" s="5" t="s">
        <v>3296</v>
      </c>
      <c r="D2769" s="6">
        <f>IFERROR(__xludf.DUMMYFUNCTION("SPLIT(MID(C2769,2,LEN(C2769)-2), "","")"),357.0)</f>
        <v>357</v>
      </c>
      <c r="E2769" s="7"/>
      <c r="F2769" s="7"/>
      <c r="G2769" s="2" t="str">
        <f t="array" ref="G2769">IF(ISBLANK(D2769), "", INDEX(Categories!$B:$B,MATCH(D2769,Categories!$A:$A,0)))</f>
        <v>Schools Academies Colleges &amp; Universities</v>
      </c>
      <c r="H2769" s="7" t="str">
        <f t="array" ref="H2769">IF(ISBLANK(E2769), "", INDEX(Categories!$B:$B,MATCH(E2769,Categories!$A:$A,0)))</f>
        <v/>
      </c>
      <c r="I2769" s="7" t="str">
        <f t="array" ref="I2769">IF(ISBLANK(F2769), "", INDEX(Categories!$B:$B,MATCH(F2769,Categories!$A:$A,0)))</f>
        <v/>
      </c>
      <c r="J2769" s="4"/>
      <c r="K2769" s="4"/>
      <c r="L2769" s="4"/>
      <c r="M2769" s="4"/>
      <c r="N2769" s="4"/>
      <c r="O2769" s="4"/>
      <c r="P2769" s="4"/>
      <c r="Q2769" s="4"/>
    </row>
    <row r="2770">
      <c r="A2770" s="5">
        <v>2769.0</v>
      </c>
      <c r="B2770" s="5" t="s">
        <v>3318</v>
      </c>
      <c r="C2770" s="5" t="s">
        <v>3296</v>
      </c>
      <c r="D2770" s="6">
        <f>IFERROR(__xludf.DUMMYFUNCTION("SPLIT(MID(C2770,2,LEN(C2770)-2), "","")"),357.0)</f>
        <v>357</v>
      </c>
      <c r="E2770" s="7"/>
      <c r="F2770" s="7"/>
      <c r="G2770" s="2" t="str">
        <f t="array" ref="G2770">IF(ISBLANK(D2770), "", INDEX(Categories!$B:$B,MATCH(D2770,Categories!$A:$A,0)))</f>
        <v>Schools Academies Colleges &amp; Universities</v>
      </c>
      <c r="H2770" s="7" t="str">
        <f t="array" ref="H2770">IF(ISBLANK(E2770), "", INDEX(Categories!$B:$B,MATCH(E2770,Categories!$A:$A,0)))</f>
        <v/>
      </c>
      <c r="I2770" s="7" t="str">
        <f t="array" ref="I2770">IF(ISBLANK(F2770), "", INDEX(Categories!$B:$B,MATCH(F2770,Categories!$A:$A,0)))</f>
        <v/>
      </c>
      <c r="J2770" s="4"/>
      <c r="K2770" s="4"/>
      <c r="L2770" s="4"/>
      <c r="M2770" s="4"/>
      <c r="N2770" s="4"/>
      <c r="O2770" s="4"/>
      <c r="P2770" s="4"/>
      <c r="Q2770" s="4"/>
    </row>
    <row r="2771">
      <c r="A2771" s="5">
        <v>2770.0</v>
      </c>
      <c r="B2771" s="5" t="s">
        <v>3319</v>
      </c>
      <c r="C2771" s="5" t="s">
        <v>3296</v>
      </c>
      <c r="D2771" s="6">
        <f>IFERROR(__xludf.DUMMYFUNCTION("SPLIT(MID(C2771,2,LEN(C2771)-2), "","")"),357.0)</f>
        <v>357</v>
      </c>
      <c r="E2771" s="7"/>
      <c r="F2771" s="7"/>
      <c r="G2771" s="2" t="str">
        <f t="array" ref="G2771">IF(ISBLANK(D2771), "", INDEX(Categories!$B:$B,MATCH(D2771,Categories!$A:$A,0)))</f>
        <v>Schools Academies Colleges &amp; Universities</v>
      </c>
      <c r="H2771" s="7" t="str">
        <f t="array" ref="H2771">IF(ISBLANK(E2771), "", INDEX(Categories!$B:$B,MATCH(E2771,Categories!$A:$A,0)))</f>
        <v/>
      </c>
      <c r="I2771" s="7" t="str">
        <f t="array" ref="I2771">IF(ISBLANK(F2771), "", INDEX(Categories!$B:$B,MATCH(F2771,Categories!$A:$A,0)))</f>
        <v/>
      </c>
      <c r="J2771" s="4"/>
      <c r="K2771" s="4"/>
      <c r="L2771" s="4"/>
      <c r="M2771" s="4"/>
      <c r="N2771" s="4"/>
      <c r="O2771" s="4"/>
      <c r="P2771" s="4"/>
      <c r="Q2771" s="4"/>
    </row>
    <row r="2772">
      <c r="A2772" s="5">
        <v>2771.0</v>
      </c>
      <c r="B2772" s="5" t="s">
        <v>3320</v>
      </c>
      <c r="C2772" s="5" t="s">
        <v>3296</v>
      </c>
      <c r="D2772" s="6">
        <f>IFERROR(__xludf.DUMMYFUNCTION("SPLIT(MID(C2772,2,LEN(C2772)-2), "","")"),357.0)</f>
        <v>357</v>
      </c>
      <c r="E2772" s="7"/>
      <c r="F2772" s="7"/>
      <c r="G2772" s="2" t="str">
        <f t="array" ref="G2772">IF(ISBLANK(D2772), "", INDEX(Categories!$B:$B,MATCH(D2772,Categories!$A:$A,0)))</f>
        <v>Schools Academies Colleges &amp; Universities</v>
      </c>
      <c r="H2772" s="7" t="str">
        <f t="array" ref="H2772">IF(ISBLANK(E2772), "", INDEX(Categories!$B:$B,MATCH(E2772,Categories!$A:$A,0)))</f>
        <v/>
      </c>
      <c r="I2772" s="7" t="str">
        <f t="array" ref="I2772">IF(ISBLANK(F2772), "", INDEX(Categories!$B:$B,MATCH(F2772,Categories!$A:$A,0)))</f>
        <v/>
      </c>
      <c r="J2772" s="4"/>
      <c r="K2772" s="4"/>
      <c r="L2772" s="4"/>
      <c r="M2772" s="4"/>
      <c r="N2772" s="4"/>
      <c r="O2772" s="4"/>
      <c r="P2772" s="4"/>
      <c r="Q2772" s="4"/>
    </row>
    <row r="2773">
      <c r="A2773" s="5">
        <v>2772.0</v>
      </c>
      <c r="B2773" s="5" t="s">
        <v>3321</v>
      </c>
      <c r="C2773" s="5" t="s">
        <v>3296</v>
      </c>
      <c r="D2773" s="6">
        <f>IFERROR(__xludf.DUMMYFUNCTION("SPLIT(MID(C2773,2,LEN(C2773)-2), "","")"),357.0)</f>
        <v>357</v>
      </c>
      <c r="E2773" s="7"/>
      <c r="F2773" s="7"/>
      <c r="G2773" s="2" t="str">
        <f t="array" ref="G2773">IF(ISBLANK(D2773), "", INDEX(Categories!$B:$B,MATCH(D2773,Categories!$A:$A,0)))</f>
        <v>Schools Academies Colleges &amp; Universities</v>
      </c>
      <c r="H2773" s="7" t="str">
        <f t="array" ref="H2773">IF(ISBLANK(E2773), "", INDEX(Categories!$B:$B,MATCH(E2773,Categories!$A:$A,0)))</f>
        <v/>
      </c>
      <c r="I2773" s="7" t="str">
        <f t="array" ref="I2773">IF(ISBLANK(F2773), "", INDEX(Categories!$B:$B,MATCH(F2773,Categories!$A:$A,0)))</f>
        <v/>
      </c>
      <c r="J2773" s="4"/>
      <c r="K2773" s="4"/>
      <c r="L2773" s="4"/>
      <c r="M2773" s="4"/>
      <c r="N2773" s="4"/>
      <c r="O2773" s="4"/>
      <c r="P2773" s="4"/>
      <c r="Q2773" s="4"/>
    </row>
    <row r="2774">
      <c r="A2774" s="5">
        <v>2773.0</v>
      </c>
      <c r="B2774" s="5" t="s">
        <v>3322</v>
      </c>
      <c r="C2774" s="5" t="s">
        <v>3296</v>
      </c>
      <c r="D2774" s="6">
        <f>IFERROR(__xludf.DUMMYFUNCTION("SPLIT(MID(C2774,2,LEN(C2774)-2), "","")"),357.0)</f>
        <v>357</v>
      </c>
      <c r="E2774" s="7"/>
      <c r="F2774" s="7"/>
      <c r="G2774" s="2" t="str">
        <f t="array" ref="G2774">IF(ISBLANK(D2774), "", INDEX(Categories!$B:$B,MATCH(D2774,Categories!$A:$A,0)))</f>
        <v>Schools Academies Colleges &amp; Universities</v>
      </c>
      <c r="H2774" s="7" t="str">
        <f t="array" ref="H2774">IF(ISBLANK(E2774), "", INDEX(Categories!$B:$B,MATCH(E2774,Categories!$A:$A,0)))</f>
        <v/>
      </c>
      <c r="I2774" s="7" t="str">
        <f t="array" ref="I2774">IF(ISBLANK(F2774), "", INDEX(Categories!$B:$B,MATCH(F2774,Categories!$A:$A,0)))</f>
        <v/>
      </c>
      <c r="J2774" s="4"/>
      <c r="K2774" s="4"/>
      <c r="L2774" s="4"/>
      <c r="M2774" s="4"/>
      <c r="N2774" s="4"/>
      <c r="O2774" s="4"/>
      <c r="P2774" s="4"/>
      <c r="Q2774" s="4"/>
    </row>
    <row r="2775">
      <c r="A2775" s="5">
        <v>2774.0</v>
      </c>
      <c r="B2775" s="5" t="s">
        <v>3323</v>
      </c>
      <c r="C2775" s="5" t="s">
        <v>3296</v>
      </c>
      <c r="D2775" s="6">
        <f>IFERROR(__xludf.DUMMYFUNCTION("SPLIT(MID(C2775,2,LEN(C2775)-2), "","")"),357.0)</f>
        <v>357</v>
      </c>
      <c r="E2775" s="7"/>
      <c r="F2775" s="7"/>
      <c r="G2775" s="2" t="str">
        <f t="array" ref="G2775">IF(ISBLANK(D2775), "", INDEX(Categories!$B:$B,MATCH(D2775,Categories!$A:$A,0)))</f>
        <v>Schools Academies Colleges &amp; Universities</v>
      </c>
      <c r="H2775" s="7" t="str">
        <f t="array" ref="H2775">IF(ISBLANK(E2775), "", INDEX(Categories!$B:$B,MATCH(E2775,Categories!$A:$A,0)))</f>
        <v/>
      </c>
      <c r="I2775" s="7" t="str">
        <f t="array" ref="I2775">IF(ISBLANK(F2775), "", INDEX(Categories!$B:$B,MATCH(F2775,Categories!$A:$A,0)))</f>
        <v/>
      </c>
      <c r="J2775" s="4"/>
      <c r="K2775" s="4"/>
      <c r="L2775" s="4"/>
      <c r="M2775" s="4"/>
      <c r="N2775" s="4"/>
      <c r="O2775" s="4"/>
      <c r="P2775" s="4"/>
      <c r="Q2775" s="4"/>
    </row>
    <row r="2776">
      <c r="A2776" s="5">
        <v>2775.0</v>
      </c>
      <c r="B2776" s="5" t="s">
        <v>3324</v>
      </c>
      <c r="C2776" s="5" t="s">
        <v>3296</v>
      </c>
      <c r="D2776" s="6">
        <f>IFERROR(__xludf.DUMMYFUNCTION("SPLIT(MID(C2776,2,LEN(C2776)-2), "","")"),357.0)</f>
        <v>357</v>
      </c>
      <c r="E2776" s="7"/>
      <c r="F2776" s="7"/>
      <c r="G2776" s="2" t="str">
        <f t="array" ref="G2776">IF(ISBLANK(D2776), "", INDEX(Categories!$B:$B,MATCH(D2776,Categories!$A:$A,0)))</f>
        <v>Schools Academies Colleges &amp; Universities</v>
      </c>
      <c r="H2776" s="7" t="str">
        <f t="array" ref="H2776">IF(ISBLANK(E2776), "", INDEX(Categories!$B:$B,MATCH(E2776,Categories!$A:$A,0)))</f>
        <v/>
      </c>
      <c r="I2776" s="7" t="str">
        <f t="array" ref="I2776">IF(ISBLANK(F2776), "", INDEX(Categories!$B:$B,MATCH(F2776,Categories!$A:$A,0)))</f>
        <v/>
      </c>
      <c r="J2776" s="4"/>
      <c r="K2776" s="4"/>
      <c r="L2776" s="4"/>
      <c r="M2776" s="4"/>
      <c r="N2776" s="4"/>
      <c r="O2776" s="4"/>
      <c r="P2776" s="4"/>
      <c r="Q2776" s="4"/>
    </row>
    <row r="2777">
      <c r="A2777" s="5">
        <v>2776.0</v>
      </c>
      <c r="B2777" s="5" t="s">
        <v>3325</v>
      </c>
      <c r="C2777" s="5" t="s">
        <v>3296</v>
      </c>
      <c r="D2777" s="6">
        <f>IFERROR(__xludf.DUMMYFUNCTION("SPLIT(MID(C2777,2,LEN(C2777)-2), "","")"),357.0)</f>
        <v>357</v>
      </c>
      <c r="E2777" s="7"/>
      <c r="F2777" s="7"/>
      <c r="G2777" s="2" t="str">
        <f t="array" ref="G2777">IF(ISBLANK(D2777), "", INDEX(Categories!$B:$B,MATCH(D2777,Categories!$A:$A,0)))</f>
        <v>Schools Academies Colleges &amp; Universities</v>
      </c>
      <c r="H2777" s="7" t="str">
        <f t="array" ref="H2777">IF(ISBLANK(E2777), "", INDEX(Categories!$B:$B,MATCH(E2777,Categories!$A:$A,0)))</f>
        <v/>
      </c>
      <c r="I2777" s="7" t="str">
        <f t="array" ref="I2777">IF(ISBLANK(F2777), "", INDEX(Categories!$B:$B,MATCH(F2777,Categories!$A:$A,0)))</f>
        <v/>
      </c>
      <c r="J2777" s="4"/>
      <c r="K2777" s="4"/>
      <c r="L2777" s="4"/>
      <c r="M2777" s="4"/>
      <c r="N2777" s="4"/>
      <c r="O2777" s="4"/>
      <c r="P2777" s="4"/>
      <c r="Q2777" s="4"/>
    </row>
    <row r="2778">
      <c r="A2778" s="5">
        <v>2777.0</v>
      </c>
      <c r="B2778" s="5" t="s">
        <v>3326</v>
      </c>
      <c r="C2778" s="5" t="s">
        <v>3296</v>
      </c>
      <c r="D2778" s="6">
        <f>IFERROR(__xludf.DUMMYFUNCTION("SPLIT(MID(C2778,2,LEN(C2778)-2), "","")"),357.0)</f>
        <v>357</v>
      </c>
      <c r="E2778" s="7"/>
      <c r="F2778" s="7"/>
      <c r="G2778" s="2" t="str">
        <f t="array" ref="G2778">IF(ISBLANK(D2778), "", INDEX(Categories!$B:$B,MATCH(D2778,Categories!$A:$A,0)))</f>
        <v>Schools Academies Colleges &amp; Universities</v>
      </c>
      <c r="H2778" s="7" t="str">
        <f t="array" ref="H2778">IF(ISBLANK(E2778), "", INDEX(Categories!$B:$B,MATCH(E2778,Categories!$A:$A,0)))</f>
        <v/>
      </c>
      <c r="I2778" s="7" t="str">
        <f t="array" ref="I2778">IF(ISBLANK(F2778), "", INDEX(Categories!$B:$B,MATCH(F2778,Categories!$A:$A,0)))</f>
        <v/>
      </c>
      <c r="J2778" s="4"/>
      <c r="K2778" s="4"/>
      <c r="L2778" s="4"/>
      <c r="M2778" s="4"/>
      <c r="N2778" s="4"/>
      <c r="O2778" s="4"/>
      <c r="P2778" s="4"/>
      <c r="Q2778" s="4"/>
    </row>
    <row r="2779">
      <c r="A2779" s="5">
        <v>2778.0</v>
      </c>
      <c r="B2779" s="5" t="s">
        <v>3327</v>
      </c>
      <c r="C2779" s="5" t="s">
        <v>3296</v>
      </c>
      <c r="D2779" s="6">
        <f>IFERROR(__xludf.DUMMYFUNCTION("SPLIT(MID(C2779,2,LEN(C2779)-2), "","")"),357.0)</f>
        <v>357</v>
      </c>
      <c r="E2779" s="7"/>
      <c r="F2779" s="7"/>
      <c r="G2779" s="2" t="str">
        <f t="array" ref="G2779">IF(ISBLANK(D2779), "", INDEX(Categories!$B:$B,MATCH(D2779,Categories!$A:$A,0)))</f>
        <v>Schools Academies Colleges &amp; Universities</v>
      </c>
      <c r="H2779" s="7" t="str">
        <f t="array" ref="H2779">IF(ISBLANK(E2779), "", INDEX(Categories!$B:$B,MATCH(E2779,Categories!$A:$A,0)))</f>
        <v/>
      </c>
      <c r="I2779" s="7" t="str">
        <f t="array" ref="I2779">IF(ISBLANK(F2779), "", INDEX(Categories!$B:$B,MATCH(F2779,Categories!$A:$A,0)))</f>
        <v/>
      </c>
      <c r="J2779" s="4"/>
      <c r="K2779" s="4"/>
      <c r="L2779" s="4"/>
      <c r="M2779" s="4"/>
      <c r="N2779" s="4"/>
      <c r="O2779" s="4"/>
      <c r="P2779" s="4"/>
      <c r="Q2779" s="4"/>
    </row>
    <row r="2780">
      <c r="A2780" s="5">
        <v>2779.0</v>
      </c>
      <c r="B2780" s="5" t="s">
        <v>3328</v>
      </c>
      <c r="C2780" s="5" t="s">
        <v>3296</v>
      </c>
      <c r="D2780" s="6">
        <f>IFERROR(__xludf.DUMMYFUNCTION("SPLIT(MID(C2780,2,LEN(C2780)-2), "","")"),357.0)</f>
        <v>357</v>
      </c>
      <c r="E2780" s="7"/>
      <c r="F2780" s="7"/>
      <c r="G2780" s="2" t="str">
        <f t="array" ref="G2780">IF(ISBLANK(D2780), "", INDEX(Categories!$B:$B,MATCH(D2780,Categories!$A:$A,0)))</f>
        <v>Schools Academies Colleges &amp; Universities</v>
      </c>
      <c r="H2780" s="7" t="str">
        <f t="array" ref="H2780">IF(ISBLANK(E2780), "", INDEX(Categories!$B:$B,MATCH(E2780,Categories!$A:$A,0)))</f>
        <v/>
      </c>
      <c r="I2780" s="7" t="str">
        <f t="array" ref="I2780">IF(ISBLANK(F2780), "", INDEX(Categories!$B:$B,MATCH(F2780,Categories!$A:$A,0)))</f>
        <v/>
      </c>
      <c r="J2780" s="4"/>
      <c r="K2780" s="4"/>
      <c r="L2780" s="4"/>
      <c r="M2780" s="4"/>
      <c r="N2780" s="4"/>
      <c r="O2780" s="4"/>
      <c r="P2780" s="4"/>
      <c r="Q2780" s="4"/>
    </row>
    <row r="2781">
      <c r="A2781" s="5">
        <v>2780.0</v>
      </c>
      <c r="B2781" s="5" t="s">
        <v>3329</v>
      </c>
      <c r="C2781" s="5" t="s">
        <v>3296</v>
      </c>
      <c r="D2781" s="6">
        <f>IFERROR(__xludf.DUMMYFUNCTION("SPLIT(MID(C2781,2,LEN(C2781)-2), "","")"),357.0)</f>
        <v>357</v>
      </c>
      <c r="E2781" s="7"/>
      <c r="F2781" s="7"/>
      <c r="G2781" s="2" t="str">
        <f t="array" ref="G2781">IF(ISBLANK(D2781), "", INDEX(Categories!$B:$B,MATCH(D2781,Categories!$A:$A,0)))</f>
        <v>Schools Academies Colleges &amp; Universities</v>
      </c>
      <c r="H2781" s="7" t="str">
        <f t="array" ref="H2781">IF(ISBLANK(E2781), "", INDEX(Categories!$B:$B,MATCH(E2781,Categories!$A:$A,0)))</f>
        <v/>
      </c>
      <c r="I2781" s="7" t="str">
        <f t="array" ref="I2781">IF(ISBLANK(F2781), "", INDEX(Categories!$B:$B,MATCH(F2781,Categories!$A:$A,0)))</f>
        <v/>
      </c>
      <c r="J2781" s="4"/>
      <c r="K2781" s="4"/>
      <c r="L2781" s="4"/>
      <c r="M2781" s="4"/>
      <c r="N2781" s="4"/>
      <c r="O2781" s="4"/>
      <c r="P2781" s="4"/>
      <c r="Q2781" s="4"/>
    </row>
    <row r="2782">
      <c r="A2782" s="5">
        <v>2781.0</v>
      </c>
      <c r="B2782" s="5" t="s">
        <v>3330</v>
      </c>
      <c r="C2782" s="5" t="s">
        <v>3296</v>
      </c>
      <c r="D2782" s="6">
        <f>IFERROR(__xludf.DUMMYFUNCTION("SPLIT(MID(C2782,2,LEN(C2782)-2), "","")"),357.0)</f>
        <v>357</v>
      </c>
      <c r="E2782" s="7"/>
      <c r="F2782" s="7"/>
      <c r="G2782" s="2" t="str">
        <f t="array" ref="G2782">IF(ISBLANK(D2782), "", INDEX(Categories!$B:$B,MATCH(D2782,Categories!$A:$A,0)))</f>
        <v>Schools Academies Colleges &amp; Universities</v>
      </c>
      <c r="H2782" s="7" t="str">
        <f t="array" ref="H2782">IF(ISBLANK(E2782), "", INDEX(Categories!$B:$B,MATCH(E2782,Categories!$A:$A,0)))</f>
        <v/>
      </c>
      <c r="I2782" s="7" t="str">
        <f t="array" ref="I2782">IF(ISBLANK(F2782), "", INDEX(Categories!$B:$B,MATCH(F2782,Categories!$A:$A,0)))</f>
        <v/>
      </c>
      <c r="J2782" s="4"/>
      <c r="K2782" s="4"/>
      <c r="L2782" s="4"/>
      <c r="M2782" s="4"/>
      <c r="N2782" s="4"/>
      <c r="O2782" s="4"/>
      <c r="P2782" s="4"/>
      <c r="Q2782" s="4"/>
    </row>
    <row r="2783">
      <c r="A2783" s="5">
        <v>2782.0</v>
      </c>
      <c r="B2783" s="5" t="s">
        <v>3331</v>
      </c>
      <c r="C2783" s="5" t="s">
        <v>3296</v>
      </c>
      <c r="D2783" s="6">
        <f>IFERROR(__xludf.DUMMYFUNCTION("SPLIT(MID(C2783,2,LEN(C2783)-2), "","")"),357.0)</f>
        <v>357</v>
      </c>
      <c r="E2783" s="7"/>
      <c r="F2783" s="7"/>
      <c r="G2783" s="2" t="str">
        <f t="array" ref="G2783">IF(ISBLANK(D2783), "", INDEX(Categories!$B:$B,MATCH(D2783,Categories!$A:$A,0)))</f>
        <v>Schools Academies Colleges &amp; Universities</v>
      </c>
      <c r="H2783" s="7" t="str">
        <f t="array" ref="H2783">IF(ISBLANK(E2783), "", INDEX(Categories!$B:$B,MATCH(E2783,Categories!$A:$A,0)))</f>
        <v/>
      </c>
      <c r="I2783" s="7" t="str">
        <f t="array" ref="I2783">IF(ISBLANK(F2783), "", INDEX(Categories!$B:$B,MATCH(F2783,Categories!$A:$A,0)))</f>
        <v/>
      </c>
      <c r="J2783" s="4"/>
      <c r="K2783" s="4"/>
      <c r="L2783" s="4"/>
      <c r="M2783" s="4"/>
      <c r="N2783" s="4"/>
      <c r="O2783" s="4"/>
      <c r="P2783" s="4"/>
      <c r="Q2783" s="4"/>
    </row>
    <row r="2784">
      <c r="A2784" s="5">
        <v>2783.0</v>
      </c>
      <c r="B2784" s="5" t="s">
        <v>3332</v>
      </c>
      <c r="C2784" s="5" t="s">
        <v>3296</v>
      </c>
      <c r="D2784" s="6">
        <f>IFERROR(__xludf.DUMMYFUNCTION("SPLIT(MID(C2784,2,LEN(C2784)-2), "","")"),357.0)</f>
        <v>357</v>
      </c>
      <c r="E2784" s="7"/>
      <c r="F2784" s="7"/>
      <c r="G2784" s="2" t="str">
        <f t="array" ref="G2784">IF(ISBLANK(D2784), "", INDEX(Categories!$B:$B,MATCH(D2784,Categories!$A:$A,0)))</f>
        <v>Schools Academies Colleges &amp; Universities</v>
      </c>
      <c r="H2784" s="7" t="str">
        <f t="array" ref="H2784">IF(ISBLANK(E2784), "", INDEX(Categories!$B:$B,MATCH(E2784,Categories!$A:$A,0)))</f>
        <v/>
      </c>
      <c r="I2784" s="7" t="str">
        <f t="array" ref="I2784">IF(ISBLANK(F2784), "", INDEX(Categories!$B:$B,MATCH(F2784,Categories!$A:$A,0)))</f>
        <v/>
      </c>
      <c r="J2784" s="4"/>
      <c r="K2784" s="4"/>
      <c r="L2784" s="4"/>
      <c r="M2784" s="4"/>
      <c r="N2784" s="4"/>
      <c r="O2784" s="4"/>
      <c r="P2784" s="4"/>
      <c r="Q2784" s="4"/>
    </row>
    <row r="2785">
      <c r="A2785" s="5">
        <v>2784.0</v>
      </c>
      <c r="B2785" s="5" t="s">
        <v>3333</v>
      </c>
      <c r="C2785" s="5" t="s">
        <v>3296</v>
      </c>
      <c r="D2785" s="6">
        <f>IFERROR(__xludf.DUMMYFUNCTION("SPLIT(MID(C2785,2,LEN(C2785)-2), "","")"),357.0)</f>
        <v>357</v>
      </c>
      <c r="E2785" s="7"/>
      <c r="F2785" s="7"/>
      <c r="G2785" s="2" t="str">
        <f t="array" ref="G2785">IF(ISBLANK(D2785), "", INDEX(Categories!$B:$B,MATCH(D2785,Categories!$A:$A,0)))</f>
        <v>Schools Academies Colleges &amp; Universities</v>
      </c>
      <c r="H2785" s="7" t="str">
        <f t="array" ref="H2785">IF(ISBLANK(E2785), "", INDEX(Categories!$B:$B,MATCH(E2785,Categories!$A:$A,0)))</f>
        <v/>
      </c>
      <c r="I2785" s="7" t="str">
        <f t="array" ref="I2785">IF(ISBLANK(F2785), "", INDEX(Categories!$B:$B,MATCH(F2785,Categories!$A:$A,0)))</f>
        <v/>
      </c>
      <c r="J2785" s="4"/>
      <c r="K2785" s="4"/>
      <c r="L2785" s="4"/>
      <c r="M2785" s="4"/>
      <c r="N2785" s="4"/>
      <c r="O2785" s="4"/>
      <c r="P2785" s="4"/>
      <c r="Q2785" s="4"/>
    </row>
    <row r="2786">
      <c r="A2786" s="5">
        <v>2785.0</v>
      </c>
      <c r="B2786" s="5" t="s">
        <v>3334</v>
      </c>
      <c r="C2786" s="5" t="s">
        <v>3296</v>
      </c>
      <c r="D2786" s="6">
        <f>IFERROR(__xludf.DUMMYFUNCTION("SPLIT(MID(C2786,2,LEN(C2786)-2), "","")"),357.0)</f>
        <v>357</v>
      </c>
      <c r="E2786" s="7"/>
      <c r="F2786" s="7"/>
      <c r="G2786" s="2" t="str">
        <f t="array" ref="G2786">IF(ISBLANK(D2786), "", INDEX(Categories!$B:$B,MATCH(D2786,Categories!$A:$A,0)))</f>
        <v>Schools Academies Colleges &amp; Universities</v>
      </c>
      <c r="H2786" s="7" t="str">
        <f t="array" ref="H2786">IF(ISBLANK(E2786), "", INDEX(Categories!$B:$B,MATCH(E2786,Categories!$A:$A,0)))</f>
        <v/>
      </c>
      <c r="I2786" s="7" t="str">
        <f t="array" ref="I2786">IF(ISBLANK(F2786), "", INDEX(Categories!$B:$B,MATCH(F2786,Categories!$A:$A,0)))</f>
        <v/>
      </c>
      <c r="J2786" s="4"/>
      <c r="K2786" s="4"/>
      <c r="L2786" s="4"/>
      <c r="M2786" s="4"/>
      <c r="N2786" s="4"/>
      <c r="O2786" s="4"/>
      <c r="P2786" s="4"/>
      <c r="Q2786" s="4"/>
    </row>
    <row r="2787">
      <c r="A2787" s="5">
        <v>2786.0</v>
      </c>
      <c r="B2787" s="5" t="s">
        <v>3335</v>
      </c>
      <c r="C2787" s="5" t="s">
        <v>3296</v>
      </c>
      <c r="D2787" s="6">
        <f>IFERROR(__xludf.DUMMYFUNCTION("SPLIT(MID(C2787,2,LEN(C2787)-2), "","")"),357.0)</f>
        <v>357</v>
      </c>
      <c r="E2787" s="7"/>
      <c r="F2787" s="7"/>
      <c r="G2787" s="2" t="str">
        <f t="array" ref="G2787">IF(ISBLANK(D2787), "", INDEX(Categories!$B:$B,MATCH(D2787,Categories!$A:$A,0)))</f>
        <v>Schools Academies Colleges &amp; Universities</v>
      </c>
      <c r="H2787" s="7" t="str">
        <f t="array" ref="H2787">IF(ISBLANK(E2787), "", INDEX(Categories!$B:$B,MATCH(E2787,Categories!$A:$A,0)))</f>
        <v/>
      </c>
      <c r="I2787" s="7" t="str">
        <f t="array" ref="I2787">IF(ISBLANK(F2787), "", INDEX(Categories!$B:$B,MATCH(F2787,Categories!$A:$A,0)))</f>
        <v/>
      </c>
      <c r="J2787" s="4"/>
      <c r="K2787" s="4"/>
      <c r="L2787" s="4"/>
      <c r="M2787" s="4"/>
      <c r="N2787" s="4"/>
      <c r="O2787" s="4"/>
      <c r="P2787" s="4"/>
      <c r="Q2787" s="4"/>
    </row>
    <row r="2788">
      <c r="A2788" s="5">
        <v>2787.0</v>
      </c>
      <c r="B2788" s="5" t="s">
        <v>3336</v>
      </c>
      <c r="C2788" s="5" t="s">
        <v>3337</v>
      </c>
      <c r="D2788" s="6">
        <f>IFERROR(__xludf.DUMMYFUNCTION("SPLIT(MID(C2788,2,LEN(C2788)-2), "","")"),835.0)</f>
        <v>835</v>
      </c>
      <c r="E2788" s="7"/>
      <c r="F2788" s="7"/>
      <c r="G2788" s="2" t="str">
        <f t="array" ref="G2788">IF(ISBLANK(D2788), "", INDEX(Categories!$B:$B,MATCH(D2788,Categories!$A:$A,0)))</f>
        <v>Stadiums Arenas &amp; Athletic Fields</v>
      </c>
      <c r="H2788" s="7" t="str">
        <f t="array" ref="H2788">IF(ISBLANK(E2788), "", INDEX(Categories!$B:$B,MATCH(E2788,Categories!$A:$A,0)))</f>
        <v/>
      </c>
      <c r="I2788" s="7" t="str">
        <f t="array" ref="I2788">IF(ISBLANK(F2788), "", INDEX(Categories!$B:$B,MATCH(F2788,Categories!$A:$A,0)))</f>
        <v/>
      </c>
      <c r="J2788" s="4"/>
      <c r="K2788" s="4"/>
      <c r="L2788" s="4"/>
      <c r="M2788" s="4"/>
      <c r="N2788" s="4"/>
      <c r="O2788" s="4"/>
      <c r="P2788" s="4"/>
      <c r="Q2788" s="4"/>
    </row>
    <row r="2789">
      <c r="A2789" s="5">
        <v>2788.0</v>
      </c>
      <c r="B2789" s="5" t="s">
        <v>3338</v>
      </c>
      <c r="C2789" s="5" t="s">
        <v>3337</v>
      </c>
      <c r="D2789" s="6">
        <f>IFERROR(__xludf.DUMMYFUNCTION("SPLIT(MID(C2789,2,LEN(C2789)-2), "","")"),835.0)</f>
        <v>835</v>
      </c>
      <c r="E2789" s="7"/>
      <c r="F2789" s="7"/>
      <c r="G2789" s="2" t="str">
        <f t="array" ref="G2789">IF(ISBLANK(D2789), "", INDEX(Categories!$B:$B,MATCH(D2789,Categories!$A:$A,0)))</f>
        <v>Stadiums Arenas &amp; Athletic Fields</v>
      </c>
      <c r="H2789" s="7" t="str">
        <f t="array" ref="H2789">IF(ISBLANK(E2789), "", INDEX(Categories!$B:$B,MATCH(E2789,Categories!$A:$A,0)))</f>
        <v/>
      </c>
      <c r="I2789" s="7" t="str">
        <f t="array" ref="I2789">IF(ISBLANK(F2789), "", INDEX(Categories!$B:$B,MATCH(F2789,Categories!$A:$A,0)))</f>
        <v/>
      </c>
      <c r="J2789" s="4"/>
      <c r="K2789" s="4"/>
      <c r="L2789" s="4"/>
      <c r="M2789" s="4"/>
      <c r="N2789" s="4"/>
      <c r="O2789" s="4"/>
      <c r="P2789" s="4"/>
      <c r="Q2789" s="4"/>
    </row>
    <row r="2790">
      <c r="A2790" s="5">
        <v>2789.0</v>
      </c>
      <c r="B2790" s="5" t="s">
        <v>3339</v>
      </c>
      <c r="C2790" s="5" t="s">
        <v>3337</v>
      </c>
      <c r="D2790" s="6">
        <f>IFERROR(__xludf.DUMMYFUNCTION("SPLIT(MID(C2790,2,LEN(C2790)-2), "","")"),835.0)</f>
        <v>835</v>
      </c>
      <c r="E2790" s="7"/>
      <c r="F2790" s="7"/>
      <c r="G2790" s="2" t="str">
        <f t="array" ref="G2790">IF(ISBLANK(D2790), "", INDEX(Categories!$B:$B,MATCH(D2790,Categories!$A:$A,0)))</f>
        <v>Stadiums Arenas &amp; Athletic Fields</v>
      </c>
      <c r="H2790" s="7" t="str">
        <f t="array" ref="H2790">IF(ISBLANK(E2790), "", INDEX(Categories!$B:$B,MATCH(E2790,Categories!$A:$A,0)))</f>
        <v/>
      </c>
      <c r="I2790" s="7" t="str">
        <f t="array" ref="I2790">IF(ISBLANK(F2790), "", INDEX(Categories!$B:$B,MATCH(F2790,Categories!$A:$A,0)))</f>
        <v/>
      </c>
      <c r="J2790" s="4"/>
      <c r="K2790" s="4"/>
      <c r="L2790" s="4"/>
      <c r="M2790" s="4"/>
      <c r="N2790" s="4"/>
      <c r="O2790" s="4"/>
      <c r="P2790" s="4"/>
      <c r="Q2790" s="4"/>
    </row>
    <row r="2791">
      <c r="A2791" s="5">
        <v>2790.0</v>
      </c>
      <c r="B2791" s="5" t="s">
        <v>3340</v>
      </c>
      <c r="C2791" s="5" t="s">
        <v>3337</v>
      </c>
      <c r="D2791" s="6">
        <f>IFERROR(__xludf.DUMMYFUNCTION("SPLIT(MID(C2791,2,LEN(C2791)-2), "","")"),835.0)</f>
        <v>835</v>
      </c>
      <c r="E2791" s="7"/>
      <c r="F2791" s="7"/>
      <c r="G2791" s="2" t="str">
        <f t="array" ref="G2791">IF(ISBLANK(D2791), "", INDEX(Categories!$B:$B,MATCH(D2791,Categories!$A:$A,0)))</f>
        <v>Stadiums Arenas &amp; Athletic Fields</v>
      </c>
      <c r="H2791" s="7" t="str">
        <f t="array" ref="H2791">IF(ISBLANK(E2791), "", INDEX(Categories!$B:$B,MATCH(E2791,Categories!$A:$A,0)))</f>
        <v/>
      </c>
      <c r="I2791" s="7" t="str">
        <f t="array" ref="I2791">IF(ISBLANK(F2791), "", INDEX(Categories!$B:$B,MATCH(F2791,Categories!$A:$A,0)))</f>
        <v/>
      </c>
      <c r="J2791" s="4"/>
      <c r="K2791" s="4"/>
      <c r="L2791" s="4"/>
      <c r="M2791" s="4"/>
      <c r="N2791" s="4"/>
      <c r="O2791" s="4"/>
      <c r="P2791" s="4"/>
      <c r="Q2791" s="4"/>
    </row>
    <row r="2792">
      <c r="A2792" s="5">
        <v>2791.0</v>
      </c>
      <c r="B2792" s="5" t="s">
        <v>3341</v>
      </c>
      <c r="C2792" s="5" t="s">
        <v>3342</v>
      </c>
      <c r="D2792" s="6">
        <f>IFERROR(__xludf.DUMMYFUNCTION("SPLIT(MID(C2792,2,LEN(C2792)-2), "","")"),1576.0)</f>
        <v>1576</v>
      </c>
      <c r="E2792" s="7"/>
      <c r="F2792" s="7"/>
      <c r="G2792" s="2" t="str">
        <f t="array" ref="G2792">IF(ISBLANK(D2792), "", INDEX(Categories!$B:$B,MATCH(D2792,Categories!$A:$A,0)))</f>
        <v>Race Tracks</v>
      </c>
      <c r="H2792" s="7" t="str">
        <f t="array" ref="H2792">IF(ISBLANK(E2792), "", INDEX(Categories!$B:$B,MATCH(E2792,Categories!$A:$A,0)))</f>
        <v/>
      </c>
      <c r="I2792" s="7" t="str">
        <f t="array" ref="I2792">IF(ISBLANK(F2792), "", INDEX(Categories!$B:$B,MATCH(F2792,Categories!$A:$A,0)))</f>
        <v/>
      </c>
      <c r="J2792" s="4"/>
      <c r="K2792" s="4"/>
      <c r="L2792" s="4"/>
      <c r="M2792" s="4"/>
      <c r="N2792" s="4"/>
      <c r="O2792" s="4"/>
      <c r="P2792" s="4"/>
      <c r="Q2792" s="4"/>
    </row>
    <row r="2793">
      <c r="A2793" s="5">
        <v>2792.0</v>
      </c>
      <c r="B2793" s="5" t="s">
        <v>3343</v>
      </c>
      <c r="C2793" s="5" t="s">
        <v>3344</v>
      </c>
      <c r="D2793" s="6">
        <f>IFERROR(__xludf.DUMMYFUNCTION("SPLIT(MID(C2793,2,LEN(C2793)-2), "","")"),2391.0)</f>
        <v>2391</v>
      </c>
      <c r="E2793" s="7"/>
      <c r="F2793" s="7"/>
      <c r="G2793" s="2" t="str">
        <f t="array" ref="G2793">IF(ISBLANK(D2793), "", INDEX(Categories!$B:$B,MATCH(D2793,Categories!$A:$A,0)))</f>
        <v>Casinos</v>
      </c>
      <c r="H2793" s="7" t="str">
        <f t="array" ref="H2793">IF(ISBLANK(E2793), "", INDEX(Categories!$B:$B,MATCH(E2793,Categories!$A:$A,0)))</f>
        <v/>
      </c>
      <c r="I2793" s="7" t="str">
        <f t="array" ref="I2793">IF(ISBLANK(F2793), "", INDEX(Categories!$B:$B,MATCH(F2793,Categories!$A:$A,0)))</f>
        <v/>
      </c>
      <c r="J2793" s="4"/>
      <c r="K2793" s="4"/>
      <c r="L2793" s="4"/>
      <c r="M2793" s="4"/>
      <c r="N2793" s="4"/>
      <c r="O2793" s="4"/>
      <c r="P2793" s="4"/>
      <c r="Q2793" s="4"/>
    </row>
    <row r="2794">
      <c r="A2794" s="5">
        <v>2793.0</v>
      </c>
      <c r="B2794" s="5" t="s">
        <v>3345</v>
      </c>
      <c r="C2794" s="5" t="s">
        <v>3344</v>
      </c>
      <c r="D2794" s="6">
        <f>IFERROR(__xludf.DUMMYFUNCTION("SPLIT(MID(C2794,2,LEN(C2794)-2), "","")"),2391.0)</f>
        <v>2391</v>
      </c>
      <c r="E2794" s="7"/>
      <c r="F2794" s="7"/>
      <c r="G2794" s="2" t="str">
        <f t="array" ref="G2794">IF(ISBLANK(D2794), "", INDEX(Categories!$B:$B,MATCH(D2794,Categories!$A:$A,0)))</f>
        <v>Casinos</v>
      </c>
      <c r="H2794" s="7" t="str">
        <f t="array" ref="H2794">IF(ISBLANK(E2794), "", INDEX(Categories!$B:$B,MATCH(E2794,Categories!$A:$A,0)))</f>
        <v/>
      </c>
      <c r="I2794" s="7" t="str">
        <f t="array" ref="I2794">IF(ISBLANK(F2794), "", INDEX(Categories!$B:$B,MATCH(F2794,Categories!$A:$A,0)))</f>
        <v/>
      </c>
      <c r="J2794" s="4"/>
      <c r="K2794" s="4"/>
      <c r="L2794" s="4"/>
      <c r="M2794" s="4"/>
      <c r="N2794" s="4"/>
      <c r="O2794" s="4"/>
      <c r="P2794" s="4"/>
      <c r="Q2794" s="4"/>
    </row>
    <row r="2795">
      <c r="A2795" s="5">
        <v>2794.0</v>
      </c>
      <c r="B2795" s="5" t="s">
        <v>3346</v>
      </c>
      <c r="C2795" s="5" t="s">
        <v>3344</v>
      </c>
      <c r="D2795" s="6">
        <f>IFERROR(__xludf.DUMMYFUNCTION("SPLIT(MID(C2795,2,LEN(C2795)-2), "","")"),2391.0)</f>
        <v>2391</v>
      </c>
      <c r="E2795" s="7"/>
      <c r="F2795" s="7"/>
      <c r="G2795" s="2" t="str">
        <f t="array" ref="G2795">IF(ISBLANK(D2795), "", INDEX(Categories!$B:$B,MATCH(D2795,Categories!$A:$A,0)))</f>
        <v>Casinos</v>
      </c>
      <c r="H2795" s="7" t="str">
        <f t="array" ref="H2795">IF(ISBLANK(E2795), "", INDEX(Categories!$B:$B,MATCH(E2795,Categories!$A:$A,0)))</f>
        <v/>
      </c>
      <c r="I2795" s="7" t="str">
        <f t="array" ref="I2795">IF(ISBLANK(F2795), "", INDEX(Categories!$B:$B,MATCH(F2795,Categories!$A:$A,0)))</f>
        <v/>
      </c>
      <c r="J2795" s="4"/>
      <c r="K2795" s="4"/>
      <c r="L2795" s="4"/>
      <c r="M2795" s="4"/>
      <c r="N2795" s="4"/>
      <c r="O2795" s="4"/>
      <c r="P2795" s="4"/>
      <c r="Q2795" s="4"/>
    </row>
    <row r="2796">
      <c r="A2796" s="5">
        <v>2795.0</v>
      </c>
      <c r="B2796" s="5" t="s">
        <v>3347</v>
      </c>
      <c r="C2796" s="5" t="s">
        <v>3344</v>
      </c>
      <c r="D2796" s="6">
        <f>IFERROR(__xludf.DUMMYFUNCTION("SPLIT(MID(C2796,2,LEN(C2796)-2), "","")"),2391.0)</f>
        <v>2391</v>
      </c>
      <c r="E2796" s="7"/>
      <c r="F2796" s="7"/>
      <c r="G2796" s="2" t="str">
        <f t="array" ref="G2796">IF(ISBLANK(D2796), "", INDEX(Categories!$B:$B,MATCH(D2796,Categories!$A:$A,0)))</f>
        <v>Casinos</v>
      </c>
      <c r="H2796" s="7" t="str">
        <f t="array" ref="H2796">IF(ISBLANK(E2796), "", INDEX(Categories!$B:$B,MATCH(E2796,Categories!$A:$A,0)))</f>
        <v/>
      </c>
      <c r="I2796" s="7" t="str">
        <f t="array" ref="I2796">IF(ISBLANK(F2796), "", INDEX(Categories!$B:$B,MATCH(F2796,Categories!$A:$A,0)))</f>
        <v/>
      </c>
      <c r="J2796" s="4"/>
      <c r="K2796" s="4"/>
      <c r="L2796" s="4"/>
      <c r="M2796" s="4"/>
      <c r="N2796" s="4"/>
      <c r="O2796" s="4"/>
      <c r="P2796" s="4"/>
      <c r="Q2796" s="4"/>
    </row>
    <row r="2797">
      <c r="A2797" s="5">
        <v>2796.0</v>
      </c>
      <c r="B2797" s="5" t="s">
        <v>3348</v>
      </c>
      <c r="C2797" s="5" t="s">
        <v>3344</v>
      </c>
      <c r="D2797" s="6">
        <f>IFERROR(__xludf.DUMMYFUNCTION("SPLIT(MID(C2797,2,LEN(C2797)-2), "","")"),2391.0)</f>
        <v>2391</v>
      </c>
      <c r="E2797" s="7"/>
      <c r="F2797" s="7"/>
      <c r="G2797" s="2" t="str">
        <f t="array" ref="G2797">IF(ISBLANK(D2797), "", INDEX(Categories!$B:$B,MATCH(D2797,Categories!$A:$A,0)))</f>
        <v>Casinos</v>
      </c>
      <c r="H2797" s="7" t="str">
        <f t="array" ref="H2797">IF(ISBLANK(E2797), "", INDEX(Categories!$B:$B,MATCH(E2797,Categories!$A:$A,0)))</f>
        <v/>
      </c>
      <c r="I2797" s="7" t="str">
        <f t="array" ref="I2797">IF(ISBLANK(F2797), "", INDEX(Categories!$B:$B,MATCH(F2797,Categories!$A:$A,0)))</f>
        <v/>
      </c>
      <c r="J2797" s="4"/>
      <c r="K2797" s="4"/>
      <c r="L2797" s="4"/>
      <c r="M2797" s="4"/>
      <c r="N2797" s="4"/>
      <c r="O2797" s="4"/>
      <c r="P2797" s="4"/>
      <c r="Q2797" s="4"/>
    </row>
    <row r="2798">
      <c r="A2798" s="5">
        <v>2797.0</v>
      </c>
      <c r="B2798" s="5" t="s">
        <v>3349</v>
      </c>
      <c r="C2798" s="5" t="s">
        <v>3344</v>
      </c>
      <c r="D2798" s="6">
        <f>IFERROR(__xludf.DUMMYFUNCTION("SPLIT(MID(C2798,2,LEN(C2798)-2), "","")"),2391.0)</f>
        <v>2391</v>
      </c>
      <c r="E2798" s="7"/>
      <c r="F2798" s="7"/>
      <c r="G2798" s="2" t="str">
        <f t="array" ref="G2798">IF(ISBLANK(D2798), "", INDEX(Categories!$B:$B,MATCH(D2798,Categories!$A:$A,0)))</f>
        <v>Casinos</v>
      </c>
      <c r="H2798" s="7" t="str">
        <f t="array" ref="H2798">IF(ISBLANK(E2798), "", INDEX(Categories!$B:$B,MATCH(E2798,Categories!$A:$A,0)))</f>
        <v/>
      </c>
      <c r="I2798" s="7" t="str">
        <f t="array" ref="I2798">IF(ISBLANK(F2798), "", INDEX(Categories!$B:$B,MATCH(F2798,Categories!$A:$A,0)))</f>
        <v/>
      </c>
      <c r="J2798" s="4"/>
      <c r="K2798" s="4"/>
      <c r="L2798" s="4"/>
      <c r="M2798" s="4"/>
      <c r="N2798" s="4"/>
      <c r="O2798" s="4"/>
      <c r="P2798" s="4"/>
      <c r="Q2798" s="4"/>
    </row>
    <row r="2799">
      <c r="A2799" s="5">
        <v>2798.0</v>
      </c>
      <c r="B2799" s="5" t="s">
        <v>3350</v>
      </c>
      <c r="C2799" s="5" t="s">
        <v>3344</v>
      </c>
      <c r="D2799" s="6">
        <f>IFERROR(__xludf.DUMMYFUNCTION("SPLIT(MID(C2799,2,LEN(C2799)-2), "","")"),2391.0)</f>
        <v>2391</v>
      </c>
      <c r="E2799" s="7"/>
      <c r="F2799" s="7"/>
      <c r="G2799" s="2" t="str">
        <f t="array" ref="G2799">IF(ISBLANK(D2799), "", INDEX(Categories!$B:$B,MATCH(D2799,Categories!$A:$A,0)))</f>
        <v>Casinos</v>
      </c>
      <c r="H2799" s="7" t="str">
        <f t="array" ref="H2799">IF(ISBLANK(E2799), "", INDEX(Categories!$B:$B,MATCH(E2799,Categories!$A:$A,0)))</f>
        <v/>
      </c>
      <c r="I2799" s="7" t="str">
        <f t="array" ref="I2799">IF(ISBLANK(F2799), "", INDEX(Categories!$B:$B,MATCH(F2799,Categories!$A:$A,0)))</f>
        <v/>
      </c>
      <c r="J2799" s="4"/>
      <c r="K2799" s="4"/>
      <c r="L2799" s="4"/>
      <c r="M2799" s="4"/>
      <c r="N2799" s="4"/>
      <c r="O2799" s="4"/>
      <c r="P2799" s="4"/>
      <c r="Q2799" s="4"/>
    </row>
    <row r="2800">
      <c r="A2800" s="5">
        <v>2799.0</v>
      </c>
      <c r="B2800" s="5" t="s">
        <v>3351</v>
      </c>
      <c r="C2800" s="5" t="s">
        <v>3344</v>
      </c>
      <c r="D2800" s="6">
        <f>IFERROR(__xludf.DUMMYFUNCTION("SPLIT(MID(C2800,2,LEN(C2800)-2), "","")"),2391.0)</f>
        <v>2391</v>
      </c>
      <c r="E2800" s="7"/>
      <c r="F2800" s="7"/>
      <c r="G2800" s="2" t="str">
        <f t="array" ref="G2800">IF(ISBLANK(D2800), "", INDEX(Categories!$B:$B,MATCH(D2800,Categories!$A:$A,0)))</f>
        <v>Casinos</v>
      </c>
      <c r="H2800" s="7" t="str">
        <f t="array" ref="H2800">IF(ISBLANK(E2800), "", INDEX(Categories!$B:$B,MATCH(E2800,Categories!$A:$A,0)))</f>
        <v/>
      </c>
      <c r="I2800" s="7" t="str">
        <f t="array" ref="I2800">IF(ISBLANK(F2800), "", INDEX(Categories!$B:$B,MATCH(F2800,Categories!$A:$A,0)))</f>
        <v/>
      </c>
      <c r="J2800" s="4"/>
      <c r="K2800" s="4"/>
      <c r="L2800" s="4"/>
      <c r="M2800" s="4"/>
      <c r="N2800" s="4"/>
      <c r="O2800" s="4"/>
      <c r="P2800" s="4"/>
      <c r="Q2800" s="4"/>
    </row>
    <row r="2801">
      <c r="A2801" s="5">
        <v>2800.0</v>
      </c>
      <c r="B2801" s="5" t="s">
        <v>3352</v>
      </c>
      <c r="C2801" s="5" t="s">
        <v>3344</v>
      </c>
      <c r="D2801" s="6">
        <f>IFERROR(__xludf.DUMMYFUNCTION("SPLIT(MID(C2801,2,LEN(C2801)-2), "","")"),2391.0)</f>
        <v>2391</v>
      </c>
      <c r="E2801" s="7"/>
      <c r="F2801" s="7"/>
      <c r="G2801" s="2" t="str">
        <f t="array" ref="G2801">IF(ISBLANK(D2801), "", INDEX(Categories!$B:$B,MATCH(D2801,Categories!$A:$A,0)))</f>
        <v>Casinos</v>
      </c>
      <c r="H2801" s="7" t="str">
        <f t="array" ref="H2801">IF(ISBLANK(E2801), "", INDEX(Categories!$B:$B,MATCH(E2801,Categories!$A:$A,0)))</f>
        <v/>
      </c>
      <c r="I2801" s="7" t="str">
        <f t="array" ref="I2801">IF(ISBLANK(F2801), "", INDEX(Categories!$B:$B,MATCH(F2801,Categories!$A:$A,0)))</f>
        <v/>
      </c>
      <c r="J2801" s="4"/>
      <c r="K2801" s="4"/>
      <c r="L2801" s="4"/>
      <c r="M2801" s="4"/>
      <c r="N2801" s="4"/>
      <c r="O2801" s="4"/>
      <c r="P2801" s="4"/>
      <c r="Q2801" s="4"/>
    </row>
    <row r="2802">
      <c r="A2802" s="5">
        <v>2801.0</v>
      </c>
      <c r="B2802" s="5" t="s">
        <v>3353</v>
      </c>
      <c r="C2802" s="5" t="s">
        <v>3344</v>
      </c>
      <c r="D2802" s="6">
        <f>IFERROR(__xludf.DUMMYFUNCTION("SPLIT(MID(C2802,2,LEN(C2802)-2), "","")"),2391.0)</f>
        <v>2391</v>
      </c>
      <c r="E2802" s="7"/>
      <c r="F2802" s="7"/>
      <c r="G2802" s="2" t="str">
        <f t="array" ref="G2802">IF(ISBLANK(D2802), "", INDEX(Categories!$B:$B,MATCH(D2802,Categories!$A:$A,0)))</f>
        <v>Casinos</v>
      </c>
      <c r="H2802" s="7" t="str">
        <f t="array" ref="H2802">IF(ISBLANK(E2802), "", INDEX(Categories!$B:$B,MATCH(E2802,Categories!$A:$A,0)))</f>
        <v/>
      </c>
      <c r="I2802" s="7" t="str">
        <f t="array" ref="I2802">IF(ISBLANK(F2802), "", INDEX(Categories!$B:$B,MATCH(F2802,Categories!$A:$A,0)))</f>
        <v/>
      </c>
      <c r="J2802" s="4"/>
      <c r="K2802" s="4"/>
      <c r="L2802" s="4"/>
      <c r="M2802" s="4"/>
      <c r="N2802" s="4"/>
      <c r="O2802" s="4"/>
      <c r="P2802" s="4"/>
      <c r="Q2802" s="4"/>
    </row>
    <row r="2803">
      <c r="A2803" s="5">
        <v>2802.0</v>
      </c>
      <c r="B2803" s="5" t="s">
        <v>3354</v>
      </c>
      <c r="C2803" s="5" t="s">
        <v>3344</v>
      </c>
      <c r="D2803" s="6">
        <f>IFERROR(__xludf.DUMMYFUNCTION("SPLIT(MID(C2803,2,LEN(C2803)-2), "","")"),2391.0)</f>
        <v>2391</v>
      </c>
      <c r="E2803" s="7"/>
      <c r="F2803" s="7"/>
      <c r="G2803" s="2" t="str">
        <f t="array" ref="G2803">IF(ISBLANK(D2803), "", INDEX(Categories!$B:$B,MATCH(D2803,Categories!$A:$A,0)))</f>
        <v>Casinos</v>
      </c>
      <c r="H2803" s="7" t="str">
        <f t="array" ref="H2803">IF(ISBLANK(E2803), "", INDEX(Categories!$B:$B,MATCH(E2803,Categories!$A:$A,0)))</f>
        <v/>
      </c>
      <c r="I2803" s="7" t="str">
        <f t="array" ref="I2803">IF(ISBLANK(F2803), "", INDEX(Categories!$B:$B,MATCH(F2803,Categories!$A:$A,0)))</f>
        <v/>
      </c>
      <c r="J2803" s="4"/>
      <c r="K2803" s="4"/>
      <c r="L2803" s="4"/>
      <c r="M2803" s="4"/>
      <c r="N2803" s="4"/>
      <c r="O2803" s="4"/>
      <c r="P2803" s="4"/>
      <c r="Q2803" s="4"/>
    </row>
    <row r="2804">
      <c r="A2804" s="5">
        <v>2803.0</v>
      </c>
      <c r="B2804" s="5" t="s">
        <v>3355</v>
      </c>
      <c r="C2804" s="5" t="s">
        <v>1600</v>
      </c>
      <c r="D2804" s="6">
        <f>IFERROR(__xludf.DUMMYFUNCTION("SPLIT(MID(C2804,2,LEN(C2804)-2), "","")"),2595.0)</f>
        <v>2595</v>
      </c>
      <c r="E2804" s="7"/>
      <c r="F2804" s="7"/>
      <c r="G2804" s="2" t="str">
        <f t="array" ref="G2804">IF(ISBLANK(D2804), "", INDEX(Categories!$B:$B,MATCH(D2804,Categories!$A:$A,0)))</f>
        <v>Health &amp; Fitness Clubs</v>
      </c>
      <c r="H2804" s="7" t="str">
        <f t="array" ref="H2804">IF(ISBLANK(E2804), "", INDEX(Categories!$B:$B,MATCH(E2804,Categories!$A:$A,0)))</f>
        <v/>
      </c>
      <c r="I2804" s="7" t="str">
        <f t="array" ref="I2804">IF(ISBLANK(F2804), "", INDEX(Categories!$B:$B,MATCH(F2804,Categories!$A:$A,0)))</f>
        <v/>
      </c>
      <c r="J2804" s="4"/>
      <c r="K2804" s="4"/>
      <c r="L2804" s="4"/>
      <c r="M2804" s="4"/>
      <c r="N2804" s="4"/>
      <c r="O2804" s="4"/>
      <c r="P2804" s="4"/>
      <c r="Q2804" s="4"/>
    </row>
    <row r="2805">
      <c r="A2805" s="5">
        <v>2804.0</v>
      </c>
      <c r="B2805" s="5" t="s">
        <v>3356</v>
      </c>
      <c r="C2805" s="5" t="s">
        <v>1600</v>
      </c>
      <c r="D2805" s="6">
        <f>IFERROR(__xludf.DUMMYFUNCTION("SPLIT(MID(C2805,2,LEN(C2805)-2), "","")"),2595.0)</f>
        <v>2595</v>
      </c>
      <c r="E2805" s="7"/>
      <c r="F2805" s="7"/>
      <c r="G2805" s="2" t="str">
        <f t="array" ref="G2805">IF(ISBLANK(D2805), "", INDEX(Categories!$B:$B,MATCH(D2805,Categories!$A:$A,0)))</f>
        <v>Health &amp; Fitness Clubs</v>
      </c>
      <c r="H2805" s="7" t="str">
        <f t="array" ref="H2805">IF(ISBLANK(E2805), "", INDEX(Categories!$B:$B,MATCH(E2805,Categories!$A:$A,0)))</f>
        <v/>
      </c>
      <c r="I2805" s="7" t="str">
        <f t="array" ref="I2805">IF(ISBLANK(F2805), "", INDEX(Categories!$B:$B,MATCH(F2805,Categories!$A:$A,0)))</f>
        <v/>
      </c>
      <c r="J2805" s="4"/>
      <c r="K2805" s="4"/>
      <c r="L2805" s="4"/>
      <c r="M2805" s="4"/>
      <c r="N2805" s="4"/>
      <c r="O2805" s="4"/>
      <c r="P2805" s="4"/>
      <c r="Q2805" s="4"/>
    </row>
    <row r="2806">
      <c r="A2806" s="5">
        <v>2805.0</v>
      </c>
      <c r="B2806" s="5" t="s">
        <v>3357</v>
      </c>
      <c r="C2806" s="5" t="s">
        <v>1600</v>
      </c>
      <c r="D2806" s="6">
        <f>IFERROR(__xludf.DUMMYFUNCTION("SPLIT(MID(C2806,2,LEN(C2806)-2), "","")"),2595.0)</f>
        <v>2595</v>
      </c>
      <c r="E2806" s="7"/>
      <c r="F2806" s="7"/>
      <c r="G2806" s="2" t="str">
        <f t="array" ref="G2806">IF(ISBLANK(D2806), "", INDEX(Categories!$B:$B,MATCH(D2806,Categories!$A:$A,0)))</f>
        <v>Health &amp; Fitness Clubs</v>
      </c>
      <c r="H2806" s="7" t="str">
        <f t="array" ref="H2806">IF(ISBLANK(E2806), "", INDEX(Categories!$B:$B,MATCH(E2806,Categories!$A:$A,0)))</f>
        <v/>
      </c>
      <c r="I2806" s="7" t="str">
        <f t="array" ref="I2806">IF(ISBLANK(F2806), "", INDEX(Categories!$B:$B,MATCH(F2806,Categories!$A:$A,0)))</f>
        <v/>
      </c>
      <c r="J2806" s="4"/>
      <c r="K2806" s="4"/>
      <c r="L2806" s="4"/>
      <c r="M2806" s="4"/>
      <c r="N2806" s="4"/>
      <c r="O2806" s="4"/>
      <c r="P2806" s="4"/>
      <c r="Q2806" s="4"/>
    </row>
    <row r="2807">
      <c r="A2807" s="5">
        <v>2806.0</v>
      </c>
      <c r="B2807" s="5" t="s">
        <v>3358</v>
      </c>
      <c r="C2807" s="5" t="s">
        <v>1600</v>
      </c>
      <c r="D2807" s="6">
        <f>IFERROR(__xludf.DUMMYFUNCTION("SPLIT(MID(C2807,2,LEN(C2807)-2), "","")"),2595.0)</f>
        <v>2595</v>
      </c>
      <c r="E2807" s="7"/>
      <c r="F2807" s="7"/>
      <c r="G2807" s="2" t="str">
        <f t="array" ref="G2807">IF(ISBLANK(D2807), "", INDEX(Categories!$B:$B,MATCH(D2807,Categories!$A:$A,0)))</f>
        <v>Health &amp; Fitness Clubs</v>
      </c>
      <c r="H2807" s="7" t="str">
        <f t="array" ref="H2807">IF(ISBLANK(E2807), "", INDEX(Categories!$B:$B,MATCH(E2807,Categories!$A:$A,0)))</f>
        <v/>
      </c>
      <c r="I2807" s="7" t="str">
        <f t="array" ref="I2807">IF(ISBLANK(F2807), "", INDEX(Categories!$B:$B,MATCH(F2807,Categories!$A:$A,0)))</f>
        <v/>
      </c>
      <c r="J2807" s="4"/>
      <c r="K2807" s="4"/>
      <c r="L2807" s="4"/>
      <c r="M2807" s="4"/>
      <c r="N2807" s="4"/>
      <c r="O2807" s="4"/>
      <c r="P2807" s="4"/>
      <c r="Q2807" s="4"/>
    </row>
    <row r="2808">
      <c r="A2808" s="5">
        <v>2807.0</v>
      </c>
      <c r="B2808" s="5" t="s">
        <v>3359</v>
      </c>
      <c r="C2808" s="5" t="s">
        <v>1600</v>
      </c>
      <c r="D2808" s="6">
        <f>IFERROR(__xludf.DUMMYFUNCTION("SPLIT(MID(C2808,2,LEN(C2808)-2), "","")"),2595.0)</f>
        <v>2595</v>
      </c>
      <c r="E2808" s="7"/>
      <c r="F2808" s="7"/>
      <c r="G2808" s="2" t="str">
        <f t="array" ref="G2808">IF(ISBLANK(D2808), "", INDEX(Categories!$B:$B,MATCH(D2808,Categories!$A:$A,0)))</f>
        <v>Health &amp; Fitness Clubs</v>
      </c>
      <c r="H2808" s="7" t="str">
        <f t="array" ref="H2808">IF(ISBLANK(E2808), "", INDEX(Categories!$B:$B,MATCH(E2808,Categories!$A:$A,0)))</f>
        <v/>
      </c>
      <c r="I2808" s="7" t="str">
        <f t="array" ref="I2808">IF(ISBLANK(F2808), "", INDEX(Categories!$B:$B,MATCH(F2808,Categories!$A:$A,0)))</f>
        <v/>
      </c>
      <c r="J2808" s="4"/>
      <c r="K2808" s="4"/>
      <c r="L2808" s="4"/>
      <c r="M2808" s="4"/>
      <c r="N2808" s="4"/>
      <c r="O2808" s="4"/>
      <c r="P2808" s="4"/>
      <c r="Q2808" s="4"/>
    </row>
    <row r="2809">
      <c r="A2809" s="5">
        <v>2808.0</v>
      </c>
      <c r="B2809" s="5" t="s">
        <v>3360</v>
      </c>
      <c r="C2809" s="5" t="s">
        <v>2659</v>
      </c>
      <c r="D2809" s="6">
        <f>IFERROR(__xludf.DUMMYFUNCTION("SPLIT(MID(C2809,2,LEN(C2809)-2), "","")"),456.0)</f>
        <v>456</v>
      </c>
      <c r="E2809" s="7"/>
      <c r="F2809" s="7"/>
      <c r="G2809" s="2" t="str">
        <f t="array" ref="G2809">IF(ISBLANK(D2809), "", INDEX(Categories!$B:$B,MATCH(D2809,Categories!$A:$A,0)))</f>
        <v>Movie Theaters</v>
      </c>
      <c r="H2809" s="7" t="str">
        <f t="array" ref="H2809">IF(ISBLANK(E2809), "", INDEX(Categories!$B:$B,MATCH(E2809,Categories!$A:$A,0)))</f>
        <v/>
      </c>
      <c r="I2809" s="7" t="str">
        <f t="array" ref="I2809">IF(ISBLANK(F2809), "", INDEX(Categories!$B:$B,MATCH(F2809,Categories!$A:$A,0)))</f>
        <v/>
      </c>
      <c r="J2809" s="4"/>
      <c r="K2809" s="4"/>
      <c r="L2809" s="4"/>
      <c r="M2809" s="4"/>
      <c r="N2809" s="4"/>
      <c r="O2809" s="4"/>
      <c r="P2809" s="4"/>
      <c r="Q2809" s="4"/>
    </row>
    <row r="2810">
      <c r="A2810" s="5">
        <v>2809.0</v>
      </c>
      <c r="B2810" s="5" t="s">
        <v>3361</v>
      </c>
      <c r="C2810" s="5" t="s">
        <v>3362</v>
      </c>
      <c r="D2810" s="6">
        <f>IFERROR(__xludf.DUMMYFUNCTION("SPLIT(MID(C2810,2,LEN(C2810)-2), "","")"),865.0)</f>
        <v>865</v>
      </c>
      <c r="E2810" s="7"/>
      <c r="F2810" s="7"/>
      <c r="G2810" s="2" t="str">
        <f t="array" ref="G2810">IF(ISBLANK(D2810), "", INDEX(Categories!$B:$B,MATCH(D2810,Categories!$A:$A,0)))</f>
        <v>Musical Instruments Used</v>
      </c>
      <c r="H2810" s="7" t="str">
        <f t="array" ref="H2810">IF(ISBLANK(E2810), "", INDEX(Categories!$B:$B,MATCH(E2810,Categories!$A:$A,0)))</f>
        <v/>
      </c>
      <c r="I2810" s="7" t="str">
        <f t="array" ref="I2810">IF(ISBLANK(F2810), "", INDEX(Categories!$B:$B,MATCH(F2810,Categories!$A:$A,0)))</f>
        <v/>
      </c>
      <c r="J2810" s="4"/>
      <c r="K2810" s="4"/>
      <c r="L2810" s="4"/>
      <c r="M2810" s="4"/>
      <c r="N2810" s="4"/>
      <c r="O2810" s="4"/>
      <c r="P2810" s="4"/>
      <c r="Q2810" s="4"/>
    </row>
    <row r="2811">
      <c r="A2811" s="5">
        <v>2810.0</v>
      </c>
      <c r="B2811" s="5" t="s">
        <v>3363</v>
      </c>
      <c r="C2811" s="5" t="s">
        <v>3362</v>
      </c>
      <c r="D2811" s="6">
        <f>IFERROR(__xludf.DUMMYFUNCTION("SPLIT(MID(C2811,2,LEN(C2811)-2), "","")"),865.0)</f>
        <v>865</v>
      </c>
      <c r="E2811" s="7"/>
      <c r="F2811" s="7"/>
      <c r="G2811" s="2" t="str">
        <f t="array" ref="G2811">IF(ISBLANK(D2811), "", INDEX(Categories!$B:$B,MATCH(D2811,Categories!$A:$A,0)))</f>
        <v>Musical Instruments Used</v>
      </c>
      <c r="H2811" s="7" t="str">
        <f t="array" ref="H2811">IF(ISBLANK(E2811), "", INDEX(Categories!$B:$B,MATCH(E2811,Categories!$A:$A,0)))</f>
        <v/>
      </c>
      <c r="I2811" s="7" t="str">
        <f t="array" ref="I2811">IF(ISBLANK(F2811), "", INDEX(Categories!$B:$B,MATCH(F2811,Categories!$A:$A,0)))</f>
        <v/>
      </c>
      <c r="J2811" s="4"/>
      <c r="K2811" s="4"/>
      <c r="L2811" s="4"/>
      <c r="M2811" s="4"/>
      <c r="N2811" s="4"/>
      <c r="O2811" s="4"/>
      <c r="P2811" s="4"/>
      <c r="Q2811" s="4"/>
    </row>
    <row r="2812">
      <c r="A2812" s="5">
        <v>2811.0</v>
      </c>
      <c r="B2812" s="5" t="s">
        <v>3364</v>
      </c>
      <c r="C2812" s="5" t="s">
        <v>3362</v>
      </c>
      <c r="D2812" s="6">
        <f>IFERROR(__xludf.DUMMYFUNCTION("SPLIT(MID(C2812,2,LEN(C2812)-2), "","")"),865.0)</f>
        <v>865</v>
      </c>
      <c r="E2812" s="7"/>
      <c r="F2812" s="7"/>
      <c r="G2812" s="2" t="str">
        <f t="array" ref="G2812">IF(ISBLANK(D2812), "", INDEX(Categories!$B:$B,MATCH(D2812,Categories!$A:$A,0)))</f>
        <v>Musical Instruments Used</v>
      </c>
      <c r="H2812" s="7" t="str">
        <f t="array" ref="H2812">IF(ISBLANK(E2812), "", INDEX(Categories!$B:$B,MATCH(E2812,Categories!$A:$A,0)))</f>
        <v/>
      </c>
      <c r="I2812" s="7" t="str">
        <f t="array" ref="I2812">IF(ISBLANK(F2812), "", INDEX(Categories!$B:$B,MATCH(F2812,Categories!$A:$A,0)))</f>
        <v/>
      </c>
      <c r="J2812" s="4"/>
      <c r="K2812" s="4"/>
      <c r="L2812" s="4"/>
      <c r="M2812" s="4"/>
      <c r="N2812" s="4"/>
      <c r="O2812" s="4"/>
      <c r="P2812" s="4"/>
      <c r="Q2812" s="4"/>
    </row>
    <row r="2813">
      <c r="A2813" s="5">
        <v>2812.0</v>
      </c>
      <c r="B2813" s="5" t="s">
        <v>3365</v>
      </c>
      <c r="C2813" s="5" t="s">
        <v>34</v>
      </c>
      <c r="D2813" s="6">
        <f>IFERROR(__xludf.DUMMYFUNCTION("SPLIT(MID(C2813,2,LEN(C2813)-2), "","")"),228.0)</f>
        <v>228</v>
      </c>
      <c r="E2813" s="7"/>
      <c r="F2813" s="7"/>
      <c r="G2813" s="2" t="str">
        <f t="array" ref="G2813">IF(ISBLANK(D2813), "", INDEX(Categories!$B:$B,MATCH(D2813,Categories!$A:$A,0)))</f>
        <v>Restaurants</v>
      </c>
      <c r="H2813" s="7" t="str">
        <f t="array" ref="H2813">IF(ISBLANK(E2813), "", INDEX(Categories!$B:$B,MATCH(E2813,Categories!$A:$A,0)))</f>
        <v/>
      </c>
      <c r="I2813" s="7" t="str">
        <f t="array" ref="I2813">IF(ISBLANK(F2813), "", INDEX(Categories!$B:$B,MATCH(F2813,Categories!$A:$A,0)))</f>
        <v/>
      </c>
      <c r="J2813" s="4"/>
      <c r="K2813" s="4"/>
      <c r="L2813" s="4"/>
      <c r="M2813" s="4"/>
      <c r="N2813" s="4"/>
      <c r="O2813" s="4"/>
      <c r="P2813" s="4"/>
      <c r="Q2813" s="4"/>
    </row>
    <row r="2814">
      <c r="A2814" s="5">
        <v>2813.0</v>
      </c>
      <c r="B2814" s="5" t="s">
        <v>3366</v>
      </c>
      <c r="C2814" s="5" t="s">
        <v>34</v>
      </c>
      <c r="D2814" s="6">
        <f>IFERROR(__xludf.DUMMYFUNCTION("SPLIT(MID(C2814,2,LEN(C2814)-2), "","")"),228.0)</f>
        <v>228</v>
      </c>
      <c r="E2814" s="7"/>
      <c r="F2814" s="7"/>
      <c r="G2814" s="2" t="str">
        <f t="array" ref="G2814">IF(ISBLANK(D2814), "", INDEX(Categories!$B:$B,MATCH(D2814,Categories!$A:$A,0)))</f>
        <v>Restaurants</v>
      </c>
      <c r="H2814" s="7" t="str">
        <f t="array" ref="H2814">IF(ISBLANK(E2814), "", INDEX(Categories!$B:$B,MATCH(E2814,Categories!$A:$A,0)))</f>
        <v/>
      </c>
      <c r="I2814" s="7" t="str">
        <f t="array" ref="I2814">IF(ISBLANK(F2814), "", INDEX(Categories!$B:$B,MATCH(F2814,Categories!$A:$A,0)))</f>
        <v/>
      </c>
      <c r="J2814" s="4"/>
      <c r="K2814" s="4"/>
      <c r="L2814" s="4"/>
      <c r="M2814" s="4"/>
      <c r="N2814" s="4"/>
      <c r="O2814" s="4"/>
      <c r="P2814" s="4"/>
      <c r="Q2814" s="4"/>
    </row>
    <row r="2815">
      <c r="A2815" s="5">
        <v>2814.0</v>
      </c>
      <c r="B2815" s="5" t="s">
        <v>3367</v>
      </c>
      <c r="C2815" s="5" t="s">
        <v>303</v>
      </c>
      <c r="D2815" s="6">
        <f>IFERROR(__xludf.DUMMYFUNCTION("SPLIT(MID(C2815,2,LEN(C2815)-2), "","")"),1241.0)</f>
        <v>1241</v>
      </c>
      <c r="E2815" s="7"/>
      <c r="F2815" s="7"/>
      <c r="G2815" s="2" t="str">
        <f t="array" ref="G2815">IF(ISBLANK(D2815), "", INDEX(Categories!$B:$B,MATCH(D2815,Categories!$A:$A,0)))</f>
        <v>Clothing &amp; Accessories</v>
      </c>
      <c r="H2815" s="7" t="str">
        <f t="array" ref="H2815">IF(ISBLANK(E2815), "", INDEX(Categories!$B:$B,MATCH(E2815,Categories!$A:$A,0)))</f>
        <v/>
      </c>
      <c r="I2815" s="7" t="str">
        <f t="array" ref="I2815">IF(ISBLANK(F2815), "", INDEX(Categories!$B:$B,MATCH(F2815,Categories!$A:$A,0)))</f>
        <v/>
      </c>
      <c r="J2815" s="4"/>
      <c r="K2815" s="4"/>
      <c r="L2815" s="4"/>
      <c r="M2815" s="4"/>
      <c r="N2815" s="4"/>
      <c r="O2815" s="4"/>
      <c r="P2815" s="4"/>
      <c r="Q2815" s="4"/>
    </row>
    <row r="2816">
      <c r="A2816" s="5">
        <v>2815.0</v>
      </c>
      <c r="B2816" s="5" t="s">
        <v>3368</v>
      </c>
      <c r="C2816" s="5" t="s">
        <v>1109</v>
      </c>
      <c r="D2816" s="6">
        <f>IFERROR(__xludf.DUMMYFUNCTION("SPLIT(MID(C2816,2,LEN(C2816)-2), "","")"),45.0)</f>
        <v>45</v>
      </c>
      <c r="E2816" s="7"/>
      <c r="F2816" s="7"/>
      <c r="G2816" s="2" t="str">
        <f t="array" ref="G2816">IF(ISBLANK(D2816), "", INDEX(Categories!$B:$B,MATCH(D2816,Categories!$A:$A,0)))</f>
        <v>Automobile - Parts &amp; Accessories</v>
      </c>
      <c r="H2816" s="7" t="str">
        <f t="array" ref="H2816">IF(ISBLANK(E2816), "", INDEX(Categories!$B:$B,MATCH(E2816,Categories!$A:$A,0)))</f>
        <v/>
      </c>
      <c r="I2816" s="7" t="str">
        <f t="array" ref="I2816">IF(ISBLANK(F2816), "", INDEX(Categories!$B:$B,MATCH(F2816,Categories!$A:$A,0)))</f>
        <v/>
      </c>
      <c r="J2816" s="4"/>
      <c r="K2816" s="4"/>
      <c r="L2816" s="4"/>
      <c r="M2816" s="4"/>
      <c r="N2816" s="4"/>
      <c r="O2816" s="4"/>
      <c r="P2816" s="4"/>
      <c r="Q2816" s="4"/>
    </row>
    <row r="2817">
      <c r="A2817" s="5">
        <v>2816.0</v>
      </c>
      <c r="B2817" s="5" t="s">
        <v>3369</v>
      </c>
      <c r="C2817" s="5" t="s">
        <v>901</v>
      </c>
      <c r="D2817" s="6">
        <f>IFERROR(__xludf.DUMMYFUNCTION("SPLIT(MID(C2817,2,LEN(C2817)-2), "","")"),971.0)</f>
        <v>971</v>
      </c>
      <c r="E2817" s="7"/>
      <c r="F2817" s="7"/>
      <c r="G2817" s="2" t="str">
        <f t="array" ref="G2817">IF(ISBLANK(D2817), "", INDEX(Categories!$B:$B,MATCH(D2817,Categories!$A:$A,0)))</f>
        <v>Telecommunications Equipment &amp; Services</v>
      </c>
      <c r="H2817" s="7" t="str">
        <f t="array" ref="H2817">IF(ISBLANK(E2817), "", INDEX(Categories!$B:$B,MATCH(E2817,Categories!$A:$A,0)))</f>
        <v/>
      </c>
      <c r="I2817" s="7" t="str">
        <f t="array" ref="I2817">IF(ISBLANK(F2817), "", INDEX(Categories!$B:$B,MATCH(F2817,Categories!$A:$A,0)))</f>
        <v/>
      </c>
      <c r="J2817" s="4"/>
      <c r="K2817" s="4"/>
      <c r="L2817" s="4"/>
      <c r="M2817" s="4"/>
      <c r="N2817" s="4"/>
      <c r="O2817" s="4"/>
      <c r="P2817" s="4"/>
      <c r="Q2817" s="4"/>
    </row>
    <row r="2818">
      <c r="A2818" s="5">
        <v>2817.0</v>
      </c>
      <c r="B2818" s="5" t="s">
        <v>3370</v>
      </c>
      <c r="C2818" s="5" t="s">
        <v>303</v>
      </c>
      <c r="D2818" s="6">
        <f>IFERROR(__xludf.DUMMYFUNCTION("SPLIT(MID(C2818,2,LEN(C2818)-2), "","")"),1241.0)</f>
        <v>1241</v>
      </c>
      <c r="E2818" s="7"/>
      <c r="F2818" s="7"/>
      <c r="G2818" s="2" t="str">
        <f t="array" ref="G2818">IF(ISBLANK(D2818), "", INDEX(Categories!$B:$B,MATCH(D2818,Categories!$A:$A,0)))</f>
        <v>Clothing &amp; Accessories</v>
      </c>
      <c r="H2818" s="7" t="str">
        <f t="array" ref="H2818">IF(ISBLANK(E2818), "", INDEX(Categories!$B:$B,MATCH(E2818,Categories!$A:$A,0)))</f>
        <v/>
      </c>
      <c r="I2818" s="7" t="str">
        <f t="array" ref="I2818">IF(ISBLANK(F2818), "", INDEX(Categories!$B:$B,MATCH(F2818,Categories!$A:$A,0)))</f>
        <v/>
      </c>
      <c r="J2818" s="4"/>
      <c r="K2818" s="4"/>
      <c r="L2818" s="4"/>
      <c r="M2818" s="4"/>
      <c r="N2818" s="4"/>
      <c r="O2818" s="4"/>
      <c r="P2818" s="4"/>
      <c r="Q2818" s="4"/>
    </row>
    <row r="2819">
      <c r="A2819" s="5">
        <v>2818.0</v>
      </c>
      <c r="B2819" s="5" t="s">
        <v>3371</v>
      </c>
      <c r="C2819" s="5" t="s">
        <v>3372</v>
      </c>
      <c r="D2819" s="6">
        <f>IFERROR(__xludf.DUMMYFUNCTION("SPLIT(MID(C2819,2,LEN(C2819)-2), "","")"),1166.0)</f>
        <v>1166</v>
      </c>
      <c r="E2819" s="7"/>
      <c r="F2819" s="7"/>
      <c r="G2819" s="2" t="str">
        <f t="array" ref="G2819">IF(ISBLANK(D2819), "", INDEX(Categories!$B:$B,MATCH(D2819,Categories!$A:$A,0)))</f>
        <v>Convenience Stores &amp; Service Stations</v>
      </c>
      <c r="H2819" s="7" t="str">
        <f t="array" ref="H2819">IF(ISBLANK(E2819), "", INDEX(Categories!$B:$B,MATCH(E2819,Categories!$A:$A,0)))</f>
        <v/>
      </c>
      <c r="I2819" s="7" t="str">
        <f t="array" ref="I2819">IF(ISBLANK(F2819), "", INDEX(Categories!$B:$B,MATCH(F2819,Categories!$A:$A,0)))</f>
        <v/>
      </c>
      <c r="J2819" s="4"/>
      <c r="K2819" s="4"/>
      <c r="L2819" s="4"/>
      <c r="M2819" s="4"/>
      <c r="N2819" s="4"/>
      <c r="O2819" s="4"/>
      <c r="P2819" s="4"/>
      <c r="Q2819" s="4"/>
    </row>
    <row r="2820">
      <c r="A2820" s="5">
        <v>2819.0</v>
      </c>
      <c r="B2820" s="5" t="s">
        <v>3373</v>
      </c>
      <c r="C2820" s="5" t="s">
        <v>3372</v>
      </c>
      <c r="D2820" s="6">
        <f>IFERROR(__xludf.DUMMYFUNCTION("SPLIT(MID(C2820,2,LEN(C2820)-2), "","")"),1166.0)</f>
        <v>1166</v>
      </c>
      <c r="E2820" s="7"/>
      <c r="F2820" s="7"/>
      <c r="G2820" s="2" t="str">
        <f t="array" ref="G2820">IF(ISBLANK(D2820), "", INDEX(Categories!$B:$B,MATCH(D2820,Categories!$A:$A,0)))</f>
        <v>Convenience Stores &amp; Service Stations</v>
      </c>
      <c r="H2820" s="7" t="str">
        <f t="array" ref="H2820">IF(ISBLANK(E2820), "", INDEX(Categories!$B:$B,MATCH(E2820,Categories!$A:$A,0)))</f>
        <v/>
      </c>
      <c r="I2820" s="7" t="str">
        <f t="array" ref="I2820">IF(ISBLANK(F2820), "", INDEX(Categories!$B:$B,MATCH(F2820,Categories!$A:$A,0)))</f>
        <v/>
      </c>
      <c r="J2820" s="4"/>
      <c r="K2820" s="4"/>
      <c r="L2820" s="4"/>
      <c r="M2820" s="4"/>
      <c r="N2820" s="4"/>
      <c r="O2820" s="4"/>
      <c r="P2820" s="4"/>
      <c r="Q2820" s="4"/>
    </row>
    <row r="2821">
      <c r="A2821" s="5">
        <v>2820.0</v>
      </c>
      <c r="B2821" s="5" t="s">
        <v>3374</v>
      </c>
      <c r="C2821" s="5" t="s">
        <v>3372</v>
      </c>
      <c r="D2821" s="6">
        <f>IFERROR(__xludf.DUMMYFUNCTION("SPLIT(MID(C2821,2,LEN(C2821)-2), "","")"),1166.0)</f>
        <v>1166</v>
      </c>
      <c r="E2821" s="7"/>
      <c r="F2821" s="7"/>
      <c r="G2821" s="2" t="str">
        <f t="array" ref="G2821">IF(ISBLANK(D2821), "", INDEX(Categories!$B:$B,MATCH(D2821,Categories!$A:$A,0)))</f>
        <v>Convenience Stores &amp; Service Stations</v>
      </c>
      <c r="H2821" s="7" t="str">
        <f t="array" ref="H2821">IF(ISBLANK(E2821), "", INDEX(Categories!$B:$B,MATCH(E2821,Categories!$A:$A,0)))</f>
        <v/>
      </c>
      <c r="I2821" s="7" t="str">
        <f t="array" ref="I2821">IF(ISBLANK(F2821), "", INDEX(Categories!$B:$B,MATCH(F2821,Categories!$A:$A,0)))</f>
        <v/>
      </c>
      <c r="J2821" s="4"/>
      <c r="K2821" s="4"/>
      <c r="L2821" s="4"/>
      <c r="M2821" s="4"/>
      <c r="N2821" s="4"/>
      <c r="O2821" s="4"/>
      <c r="P2821" s="4"/>
      <c r="Q2821" s="4"/>
    </row>
    <row r="2822">
      <c r="A2822" s="5">
        <v>2821.0</v>
      </c>
      <c r="B2822" s="5" t="s">
        <v>3375</v>
      </c>
      <c r="C2822" s="5" t="s">
        <v>3372</v>
      </c>
      <c r="D2822" s="6">
        <f>IFERROR(__xludf.DUMMYFUNCTION("SPLIT(MID(C2822,2,LEN(C2822)-2), "","")"),1166.0)</f>
        <v>1166</v>
      </c>
      <c r="E2822" s="7"/>
      <c r="F2822" s="7"/>
      <c r="G2822" s="2" t="str">
        <f t="array" ref="G2822">IF(ISBLANK(D2822), "", INDEX(Categories!$B:$B,MATCH(D2822,Categories!$A:$A,0)))</f>
        <v>Convenience Stores &amp; Service Stations</v>
      </c>
      <c r="H2822" s="7" t="str">
        <f t="array" ref="H2822">IF(ISBLANK(E2822), "", INDEX(Categories!$B:$B,MATCH(E2822,Categories!$A:$A,0)))</f>
        <v/>
      </c>
      <c r="I2822" s="7" t="str">
        <f t="array" ref="I2822">IF(ISBLANK(F2822), "", INDEX(Categories!$B:$B,MATCH(F2822,Categories!$A:$A,0)))</f>
        <v/>
      </c>
      <c r="J2822" s="4"/>
      <c r="K2822" s="4"/>
      <c r="L2822" s="4"/>
      <c r="M2822" s="4"/>
      <c r="N2822" s="4"/>
      <c r="O2822" s="4"/>
      <c r="P2822" s="4"/>
      <c r="Q2822" s="4"/>
    </row>
    <row r="2823">
      <c r="A2823" s="5">
        <v>2822.0</v>
      </c>
      <c r="B2823" s="5" t="s">
        <v>3376</v>
      </c>
      <c r="C2823" s="5" t="s">
        <v>3372</v>
      </c>
      <c r="D2823" s="6">
        <f>IFERROR(__xludf.DUMMYFUNCTION("SPLIT(MID(C2823,2,LEN(C2823)-2), "","")"),1166.0)</f>
        <v>1166</v>
      </c>
      <c r="E2823" s="7"/>
      <c r="F2823" s="7"/>
      <c r="G2823" s="2" t="str">
        <f t="array" ref="G2823">IF(ISBLANK(D2823), "", INDEX(Categories!$B:$B,MATCH(D2823,Categories!$A:$A,0)))</f>
        <v>Convenience Stores &amp; Service Stations</v>
      </c>
      <c r="H2823" s="7" t="str">
        <f t="array" ref="H2823">IF(ISBLANK(E2823), "", INDEX(Categories!$B:$B,MATCH(E2823,Categories!$A:$A,0)))</f>
        <v/>
      </c>
      <c r="I2823" s="7" t="str">
        <f t="array" ref="I2823">IF(ISBLANK(F2823), "", INDEX(Categories!$B:$B,MATCH(F2823,Categories!$A:$A,0)))</f>
        <v/>
      </c>
      <c r="J2823" s="4"/>
      <c r="K2823" s="4"/>
      <c r="L2823" s="4"/>
      <c r="M2823" s="4"/>
      <c r="N2823" s="4"/>
      <c r="O2823" s="4"/>
      <c r="P2823" s="4"/>
      <c r="Q2823" s="4"/>
    </row>
    <row r="2824">
      <c r="A2824" s="5">
        <v>2823.0</v>
      </c>
      <c r="B2824" s="5" t="s">
        <v>3377</v>
      </c>
      <c r="C2824" s="5" t="s">
        <v>3372</v>
      </c>
      <c r="D2824" s="6">
        <f>IFERROR(__xludf.DUMMYFUNCTION("SPLIT(MID(C2824,2,LEN(C2824)-2), "","")"),1166.0)</f>
        <v>1166</v>
      </c>
      <c r="E2824" s="7"/>
      <c r="F2824" s="7"/>
      <c r="G2824" s="2" t="str">
        <f t="array" ref="G2824">IF(ISBLANK(D2824), "", INDEX(Categories!$B:$B,MATCH(D2824,Categories!$A:$A,0)))</f>
        <v>Convenience Stores &amp; Service Stations</v>
      </c>
      <c r="H2824" s="7" t="str">
        <f t="array" ref="H2824">IF(ISBLANK(E2824), "", INDEX(Categories!$B:$B,MATCH(E2824,Categories!$A:$A,0)))</f>
        <v/>
      </c>
      <c r="I2824" s="7" t="str">
        <f t="array" ref="I2824">IF(ISBLANK(F2824), "", INDEX(Categories!$B:$B,MATCH(F2824,Categories!$A:$A,0)))</f>
        <v/>
      </c>
      <c r="J2824" s="4"/>
      <c r="K2824" s="4"/>
      <c r="L2824" s="4"/>
      <c r="M2824" s="4"/>
      <c r="N2824" s="4"/>
      <c r="O2824" s="4"/>
      <c r="P2824" s="4"/>
      <c r="Q2824" s="4"/>
    </row>
    <row r="2825">
      <c r="A2825" s="5">
        <v>2824.0</v>
      </c>
      <c r="B2825" s="5" t="s">
        <v>3378</v>
      </c>
      <c r="C2825" s="5" t="s">
        <v>3372</v>
      </c>
      <c r="D2825" s="6">
        <f>IFERROR(__xludf.DUMMYFUNCTION("SPLIT(MID(C2825,2,LEN(C2825)-2), "","")"),1166.0)</f>
        <v>1166</v>
      </c>
      <c r="E2825" s="7"/>
      <c r="F2825" s="7"/>
      <c r="G2825" s="2" t="str">
        <f t="array" ref="G2825">IF(ISBLANK(D2825), "", INDEX(Categories!$B:$B,MATCH(D2825,Categories!$A:$A,0)))</f>
        <v>Convenience Stores &amp; Service Stations</v>
      </c>
      <c r="H2825" s="7" t="str">
        <f t="array" ref="H2825">IF(ISBLANK(E2825), "", INDEX(Categories!$B:$B,MATCH(E2825,Categories!$A:$A,0)))</f>
        <v/>
      </c>
      <c r="I2825" s="7" t="str">
        <f t="array" ref="I2825">IF(ISBLANK(F2825), "", INDEX(Categories!$B:$B,MATCH(F2825,Categories!$A:$A,0)))</f>
        <v/>
      </c>
      <c r="J2825" s="4"/>
      <c r="K2825" s="4"/>
      <c r="L2825" s="4"/>
      <c r="M2825" s="4"/>
      <c r="N2825" s="4"/>
      <c r="O2825" s="4"/>
      <c r="P2825" s="4"/>
      <c r="Q2825" s="4"/>
    </row>
    <row r="2826">
      <c r="A2826" s="5">
        <v>2825.0</v>
      </c>
      <c r="B2826" s="5" t="s">
        <v>3379</v>
      </c>
      <c r="C2826" s="5" t="s">
        <v>3372</v>
      </c>
      <c r="D2826" s="6">
        <f>IFERROR(__xludf.DUMMYFUNCTION("SPLIT(MID(C2826,2,LEN(C2826)-2), "","")"),1166.0)</f>
        <v>1166</v>
      </c>
      <c r="E2826" s="7"/>
      <c r="F2826" s="7"/>
      <c r="G2826" s="2" t="str">
        <f t="array" ref="G2826">IF(ISBLANK(D2826), "", INDEX(Categories!$B:$B,MATCH(D2826,Categories!$A:$A,0)))</f>
        <v>Convenience Stores &amp; Service Stations</v>
      </c>
      <c r="H2826" s="7" t="str">
        <f t="array" ref="H2826">IF(ISBLANK(E2826), "", INDEX(Categories!$B:$B,MATCH(E2826,Categories!$A:$A,0)))</f>
        <v/>
      </c>
      <c r="I2826" s="7" t="str">
        <f t="array" ref="I2826">IF(ISBLANK(F2826), "", INDEX(Categories!$B:$B,MATCH(F2826,Categories!$A:$A,0)))</f>
        <v/>
      </c>
      <c r="J2826" s="4"/>
      <c r="K2826" s="4"/>
      <c r="L2826" s="4"/>
      <c r="M2826" s="4"/>
      <c r="N2826" s="4"/>
      <c r="O2826" s="4"/>
      <c r="P2826" s="4"/>
      <c r="Q2826" s="4"/>
    </row>
    <row r="2827">
      <c r="A2827" s="5">
        <v>2826.0</v>
      </c>
      <c r="B2827" s="5" t="s">
        <v>3380</v>
      </c>
      <c r="C2827" s="5" t="s">
        <v>1081</v>
      </c>
      <c r="D2827" s="6">
        <f>IFERROR(__xludf.DUMMYFUNCTION("SPLIT(MID(C2827,2,LEN(C2827)-2), "","")"),18.0)</f>
        <v>18</v>
      </c>
      <c r="E2827" s="7"/>
      <c r="F2827" s="7"/>
      <c r="G2827" s="2" t="str">
        <f t="array" ref="G2827">IF(ISBLANK(D2827), "", INDEX(Categories!$B:$B,MATCH(D2827,Categories!$A:$A,0)))</f>
        <v>Furniture</v>
      </c>
      <c r="H2827" s="7" t="str">
        <f t="array" ref="H2827">IF(ISBLANK(E2827), "", INDEX(Categories!$B:$B,MATCH(E2827,Categories!$A:$A,0)))</f>
        <v/>
      </c>
      <c r="I2827" s="7" t="str">
        <f t="array" ref="I2827">IF(ISBLANK(F2827), "", INDEX(Categories!$B:$B,MATCH(F2827,Categories!$A:$A,0)))</f>
        <v/>
      </c>
      <c r="J2827" s="4"/>
      <c r="K2827" s="4"/>
      <c r="L2827" s="4"/>
      <c r="M2827" s="4"/>
      <c r="N2827" s="4"/>
      <c r="O2827" s="4"/>
      <c r="P2827" s="4"/>
      <c r="Q2827" s="4"/>
    </row>
    <row r="2828">
      <c r="A2828" s="5">
        <v>2827.0</v>
      </c>
      <c r="B2828" s="5" t="s">
        <v>3381</v>
      </c>
      <c r="C2828" s="5" t="s">
        <v>1081</v>
      </c>
      <c r="D2828" s="6">
        <f>IFERROR(__xludf.DUMMYFUNCTION("SPLIT(MID(C2828,2,LEN(C2828)-2), "","")"),18.0)</f>
        <v>18</v>
      </c>
      <c r="E2828" s="7"/>
      <c r="F2828" s="7"/>
      <c r="G2828" s="2" t="str">
        <f t="array" ref="G2828">IF(ISBLANK(D2828), "", INDEX(Categories!$B:$B,MATCH(D2828,Categories!$A:$A,0)))</f>
        <v>Furniture</v>
      </c>
      <c r="H2828" s="7" t="str">
        <f t="array" ref="H2828">IF(ISBLANK(E2828), "", INDEX(Categories!$B:$B,MATCH(E2828,Categories!$A:$A,0)))</f>
        <v/>
      </c>
      <c r="I2828" s="7" t="str">
        <f t="array" ref="I2828">IF(ISBLANK(F2828), "", INDEX(Categories!$B:$B,MATCH(F2828,Categories!$A:$A,0)))</f>
        <v/>
      </c>
      <c r="J2828" s="4"/>
      <c r="K2828" s="4"/>
      <c r="L2828" s="4"/>
      <c r="M2828" s="4"/>
      <c r="N2828" s="4"/>
      <c r="O2828" s="4"/>
      <c r="P2828" s="4"/>
      <c r="Q2828" s="4"/>
    </row>
    <row r="2829">
      <c r="A2829" s="5">
        <v>2828.0</v>
      </c>
      <c r="B2829" s="5" t="s">
        <v>3382</v>
      </c>
      <c r="C2829" s="5" t="s">
        <v>1081</v>
      </c>
      <c r="D2829" s="6">
        <f>IFERROR(__xludf.DUMMYFUNCTION("SPLIT(MID(C2829,2,LEN(C2829)-2), "","")"),18.0)</f>
        <v>18</v>
      </c>
      <c r="E2829" s="7"/>
      <c r="F2829" s="7"/>
      <c r="G2829" s="2" t="str">
        <f t="array" ref="G2829">IF(ISBLANK(D2829), "", INDEX(Categories!$B:$B,MATCH(D2829,Categories!$A:$A,0)))</f>
        <v>Furniture</v>
      </c>
      <c r="H2829" s="7" t="str">
        <f t="array" ref="H2829">IF(ISBLANK(E2829), "", INDEX(Categories!$B:$B,MATCH(E2829,Categories!$A:$A,0)))</f>
        <v/>
      </c>
      <c r="I2829" s="7" t="str">
        <f t="array" ref="I2829">IF(ISBLANK(F2829), "", INDEX(Categories!$B:$B,MATCH(F2829,Categories!$A:$A,0)))</f>
        <v/>
      </c>
      <c r="J2829" s="4"/>
      <c r="K2829" s="4"/>
      <c r="L2829" s="4"/>
      <c r="M2829" s="4"/>
      <c r="N2829" s="4"/>
      <c r="O2829" s="4"/>
      <c r="P2829" s="4"/>
      <c r="Q2829" s="4"/>
    </row>
    <row r="2830">
      <c r="A2830" s="5">
        <v>2829.0</v>
      </c>
      <c r="B2830" s="5" t="s">
        <v>3383</v>
      </c>
      <c r="C2830" s="5" t="s">
        <v>1081</v>
      </c>
      <c r="D2830" s="6">
        <f>IFERROR(__xludf.DUMMYFUNCTION("SPLIT(MID(C2830,2,LEN(C2830)-2), "","")"),18.0)</f>
        <v>18</v>
      </c>
      <c r="E2830" s="7"/>
      <c r="F2830" s="7"/>
      <c r="G2830" s="2" t="str">
        <f t="array" ref="G2830">IF(ISBLANK(D2830), "", INDEX(Categories!$B:$B,MATCH(D2830,Categories!$A:$A,0)))</f>
        <v>Furniture</v>
      </c>
      <c r="H2830" s="7" t="str">
        <f t="array" ref="H2830">IF(ISBLANK(E2830), "", INDEX(Categories!$B:$B,MATCH(E2830,Categories!$A:$A,0)))</f>
        <v/>
      </c>
      <c r="I2830" s="7" t="str">
        <f t="array" ref="I2830">IF(ISBLANK(F2830), "", INDEX(Categories!$B:$B,MATCH(F2830,Categories!$A:$A,0)))</f>
        <v/>
      </c>
      <c r="J2830" s="4"/>
      <c r="K2830" s="4"/>
      <c r="L2830" s="4"/>
      <c r="M2830" s="4"/>
      <c r="N2830" s="4"/>
      <c r="O2830" s="4"/>
      <c r="P2830" s="4"/>
      <c r="Q2830" s="4"/>
    </row>
    <row r="2831">
      <c r="A2831" s="5">
        <v>2830.0</v>
      </c>
      <c r="B2831" s="5" t="s">
        <v>3384</v>
      </c>
      <c r="C2831" s="5" t="s">
        <v>1081</v>
      </c>
      <c r="D2831" s="6">
        <f>IFERROR(__xludf.DUMMYFUNCTION("SPLIT(MID(C2831,2,LEN(C2831)-2), "","")"),18.0)</f>
        <v>18</v>
      </c>
      <c r="E2831" s="7"/>
      <c r="F2831" s="7"/>
      <c r="G2831" s="2" t="str">
        <f t="array" ref="G2831">IF(ISBLANK(D2831), "", INDEX(Categories!$B:$B,MATCH(D2831,Categories!$A:$A,0)))</f>
        <v>Furniture</v>
      </c>
      <c r="H2831" s="7" t="str">
        <f t="array" ref="H2831">IF(ISBLANK(E2831), "", INDEX(Categories!$B:$B,MATCH(E2831,Categories!$A:$A,0)))</f>
        <v/>
      </c>
      <c r="I2831" s="7" t="str">
        <f t="array" ref="I2831">IF(ISBLANK(F2831), "", INDEX(Categories!$B:$B,MATCH(F2831,Categories!$A:$A,0)))</f>
        <v/>
      </c>
      <c r="J2831" s="4"/>
      <c r="K2831" s="4"/>
      <c r="L2831" s="4"/>
      <c r="M2831" s="4"/>
      <c r="N2831" s="4"/>
      <c r="O2831" s="4"/>
      <c r="P2831" s="4"/>
      <c r="Q2831" s="4"/>
    </row>
    <row r="2832">
      <c r="A2832" s="5">
        <v>2831.0</v>
      </c>
      <c r="B2832" s="5" t="s">
        <v>3385</v>
      </c>
      <c r="C2832" s="5" t="s">
        <v>1081</v>
      </c>
      <c r="D2832" s="6">
        <f>IFERROR(__xludf.DUMMYFUNCTION("SPLIT(MID(C2832,2,LEN(C2832)-2), "","")"),18.0)</f>
        <v>18</v>
      </c>
      <c r="E2832" s="7"/>
      <c r="F2832" s="7"/>
      <c r="G2832" s="2" t="str">
        <f t="array" ref="G2832">IF(ISBLANK(D2832), "", INDEX(Categories!$B:$B,MATCH(D2832,Categories!$A:$A,0)))</f>
        <v>Furniture</v>
      </c>
      <c r="H2832" s="7" t="str">
        <f t="array" ref="H2832">IF(ISBLANK(E2832), "", INDEX(Categories!$B:$B,MATCH(E2832,Categories!$A:$A,0)))</f>
        <v/>
      </c>
      <c r="I2832" s="7" t="str">
        <f t="array" ref="I2832">IF(ISBLANK(F2832), "", INDEX(Categories!$B:$B,MATCH(F2832,Categories!$A:$A,0)))</f>
        <v/>
      </c>
      <c r="J2832" s="4"/>
      <c r="K2832" s="4"/>
      <c r="L2832" s="4"/>
      <c r="M2832" s="4"/>
      <c r="N2832" s="4"/>
      <c r="O2832" s="4"/>
      <c r="P2832" s="4"/>
      <c r="Q2832" s="4"/>
    </row>
    <row r="2833">
      <c r="A2833" s="5">
        <v>2832.0</v>
      </c>
      <c r="B2833" s="5" t="s">
        <v>3386</v>
      </c>
      <c r="C2833" s="5" t="s">
        <v>1081</v>
      </c>
      <c r="D2833" s="6">
        <f>IFERROR(__xludf.DUMMYFUNCTION("SPLIT(MID(C2833,2,LEN(C2833)-2), "","")"),18.0)</f>
        <v>18</v>
      </c>
      <c r="E2833" s="7"/>
      <c r="F2833" s="7"/>
      <c r="G2833" s="2" t="str">
        <f t="array" ref="G2833">IF(ISBLANK(D2833), "", INDEX(Categories!$B:$B,MATCH(D2833,Categories!$A:$A,0)))</f>
        <v>Furniture</v>
      </c>
      <c r="H2833" s="7" t="str">
        <f t="array" ref="H2833">IF(ISBLANK(E2833), "", INDEX(Categories!$B:$B,MATCH(E2833,Categories!$A:$A,0)))</f>
        <v/>
      </c>
      <c r="I2833" s="7" t="str">
        <f t="array" ref="I2833">IF(ISBLANK(F2833), "", INDEX(Categories!$B:$B,MATCH(F2833,Categories!$A:$A,0)))</f>
        <v/>
      </c>
      <c r="J2833" s="4"/>
      <c r="K2833" s="4"/>
      <c r="L2833" s="4"/>
      <c r="M2833" s="4"/>
      <c r="N2833" s="4"/>
      <c r="O2833" s="4"/>
      <c r="P2833" s="4"/>
      <c r="Q2833" s="4"/>
    </row>
    <row r="2834">
      <c r="A2834" s="5">
        <v>2833.0</v>
      </c>
      <c r="B2834" s="5" t="s">
        <v>3387</v>
      </c>
      <c r="C2834" s="5" t="s">
        <v>1081</v>
      </c>
      <c r="D2834" s="6">
        <f>IFERROR(__xludf.DUMMYFUNCTION("SPLIT(MID(C2834,2,LEN(C2834)-2), "","")"),18.0)</f>
        <v>18</v>
      </c>
      <c r="E2834" s="7"/>
      <c r="F2834" s="7"/>
      <c r="G2834" s="2" t="str">
        <f t="array" ref="G2834">IF(ISBLANK(D2834), "", INDEX(Categories!$B:$B,MATCH(D2834,Categories!$A:$A,0)))</f>
        <v>Furniture</v>
      </c>
      <c r="H2834" s="7" t="str">
        <f t="array" ref="H2834">IF(ISBLANK(E2834), "", INDEX(Categories!$B:$B,MATCH(E2834,Categories!$A:$A,0)))</f>
        <v/>
      </c>
      <c r="I2834" s="7" t="str">
        <f t="array" ref="I2834">IF(ISBLANK(F2834), "", INDEX(Categories!$B:$B,MATCH(F2834,Categories!$A:$A,0)))</f>
        <v/>
      </c>
      <c r="J2834" s="4"/>
      <c r="K2834" s="4"/>
      <c r="L2834" s="4"/>
      <c r="M2834" s="4"/>
      <c r="N2834" s="4"/>
      <c r="O2834" s="4"/>
      <c r="P2834" s="4"/>
      <c r="Q2834" s="4"/>
    </row>
    <row r="2835">
      <c r="A2835" s="5">
        <v>2834.0</v>
      </c>
      <c r="B2835" s="5" t="s">
        <v>3388</v>
      </c>
      <c r="C2835" s="5" t="s">
        <v>1081</v>
      </c>
      <c r="D2835" s="6">
        <f>IFERROR(__xludf.DUMMYFUNCTION("SPLIT(MID(C2835,2,LEN(C2835)-2), "","")"),18.0)</f>
        <v>18</v>
      </c>
      <c r="E2835" s="7"/>
      <c r="F2835" s="7"/>
      <c r="G2835" s="2" t="str">
        <f t="array" ref="G2835">IF(ISBLANK(D2835), "", INDEX(Categories!$B:$B,MATCH(D2835,Categories!$A:$A,0)))</f>
        <v>Furniture</v>
      </c>
      <c r="H2835" s="7" t="str">
        <f t="array" ref="H2835">IF(ISBLANK(E2835), "", INDEX(Categories!$B:$B,MATCH(E2835,Categories!$A:$A,0)))</f>
        <v/>
      </c>
      <c r="I2835" s="7" t="str">
        <f t="array" ref="I2835">IF(ISBLANK(F2835), "", INDEX(Categories!$B:$B,MATCH(F2835,Categories!$A:$A,0)))</f>
        <v/>
      </c>
      <c r="J2835" s="4"/>
      <c r="K2835" s="4"/>
      <c r="L2835" s="4"/>
      <c r="M2835" s="4"/>
      <c r="N2835" s="4"/>
      <c r="O2835" s="4"/>
      <c r="P2835" s="4"/>
      <c r="Q2835" s="4"/>
    </row>
    <row r="2836">
      <c r="A2836" s="5">
        <v>2835.0</v>
      </c>
      <c r="B2836" s="5" t="s">
        <v>3389</v>
      </c>
      <c r="C2836" s="5" t="s">
        <v>1081</v>
      </c>
      <c r="D2836" s="6">
        <f>IFERROR(__xludf.DUMMYFUNCTION("SPLIT(MID(C2836,2,LEN(C2836)-2), "","")"),18.0)</f>
        <v>18</v>
      </c>
      <c r="E2836" s="7"/>
      <c r="F2836" s="7"/>
      <c r="G2836" s="2" t="str">
        <f t="array" ref="G2836">IF(ISBLANK(D2836), "", INDEX(Categories!$B:$B,MATCH(D2836,Categories!$A:$A,0)))</f>
        <v>Furniture</v>
      </c>
      <c r="H2836" s="7" t="str">
        <f t="array" ref="H2836">IF(ISBLANK(E2836), "", INDEX(Categories!$B:$B,MATCH(E2836,Categories!$A:$A,0)))</f>
        <v/>
      </c>
      <c r="I2836" s="7" t="str">
        <f t="array" ref="I2836">IF(ISBLANK(F2836), "", INDEX(Categories!$B:$B,MATCH(F2836,Categories!$A:$A,0)))</f>
        <v/>
      </c>
      <c r="J2836" s="4"/>
      <c r="K2836" s="4"/>
      <c r="L2836" s="4"/>
      <c r="M2836" s="4"/>
      <c r="N2836" s="4"/>
      <c r="O2836" s="4"/>
      <c r="P2836" s="4"/>
      <c r="Q2836" s="4"/>
    </row>
    <row r="2837">
      <c r="A2837" s="5">
        <v>2836.0</v>
      </c>
      <c r="B2837" s="5" t="s">
        <v>3390</v>
      </c>
      <c r="C2837" s="5" t="s">
        <v>58</v>
      </c>
      <c r="D2837" s="6">
        <f>IFERROR(__xludf.DUMMYFUNCTION("SPLIT(MID(C2837,2,LEN(C2837)-2), "","")"),1170.0)</f>
        <v>1170</v>
      </c>
      <c r="E2837" s="7"/>
      <c r="F2837" s="7"/>
      <c r="G2837" s="2" t="str">
        <f t="array" ref="G2837">IF(ISBLANK(D2837), "", INDEX(Categories!$B:$B,MATCH(D2837,Categories!$A:$A,0)))</f>
        <v>Gasoline Retail</v>
      </c>
      <c r="H2837" s="7" t="str">
        <f t="array" ref="H2837">IF(ISBLANK(E2837), "", INDEX(Categories!$B:$B,MATCH(E2837,Categories!$A:$A,0)))</f>
        <v/>
      </c>
      <c r="I2837" s="7" t="str">
        <f t="array" ref="I2837">IF(ISBLANK(F2837), "", INDEX(Categories!$B:$B,MATCH(F2837,Categories!$A:$A,0)))</f>
        <v/>
      </c>
      <c r="J2837" s="4"/>
      <c r="K2837" s="4"/>
      <c r="L2837" s="4"/>
      <c r="M2837" s="4"/>
      <c r="N2837" s="4"/>
      <c r="O2837" s="4"/>
      <c r="P2837" s="4"/>
      <c r="Q2837" s="4"/>
    </row>
    <row r="2838">
      <c r="A2838" s="5">
        <v>2837.0</v>
      </c>
      <c r="B2838" s="5" t="s">
        <v>3391</v>
      </c>
      <c r="C2838" s="5" t="s">
        <v>96</v>
      </c>
      <c r="D2838" s="6">
        <f>IFERROR(__xludf.DUMMYFUNCTION("SPLIT(MID(C2838,2,LEN(C2838)-2), "","")"),572.0)</f>
        <v>572</v>
      </c>
      <c r="E2838" s="7"/>
      <c r="F2838" s="7"/>
      <c r="G2838" s="2" t="str">
        <f t="array" ref="G2838">IF(ISBLANK(D2838), "", INDEX(Categories!$B:$B,MATCH(D2838,Categories!$A:$A,0)))</f>
        <v>Groceries</v>
      </c>
      <c r="H2838" s="7" t="str">
        <f t="array" ref="H2838">IF(ISBLANK(E2838), "", INDEX(Categories!$B:$B,MATCH(E2838,Categories!$A:$A,0)))</f>
        <v/>
      </c>
      <c r="I2838" s="7" t="str">
        <f t="array" ref="I2838">IF(ISBLANK(F2838), "", INDEX(Categories!$B:$B,MATCH(F2838,Categories!$A:$A,0)))</f>
        <v/>
      </c>
      <c r="J2838" s="4"/>
      <c r="K2838" s="4"/>
      <c r="L2838" s="4"/>
      <c r="M2838" s="4"/>
      <c r="N2838" s="4"/>
      <c r="O2838" s="4"/>
      <c r="P2838" s="4"/>
      <c r="Q2838" s="4"/>
    </row>
    <row r="2839">
      <c r="A2839" s="5">
        <v>2838.0</v>
      </c>
      <c r="B2839" s="5" t="s">
        <v>3392</v>
      </c>
      <c r="C2839" s="5" t="s">
        <v>96</v>
      </c>
      <c r="D2839" s="6">
        <f>IFERROR(__xludf.DUMMYFUNCTION("SPLIT(MID(C2839,2,LEN(C2839)-2), "","")"),572.0)</f>
        <v>572</v>
      </c>
      <c r="E2839" s="7"/>
      <c r="F2839" s="7"/>
      <c r="G2839" s="2" t="str">
        <f t="array" ref="G2839">IF(ISBLANK(D2839), "", INDEX(Categories!$B:$B,MATCH(D2839,Categories!$A:$A,0)))</f>
        <v>Groceries</v>
      </c>
      <c r="H2839" s="7" t="str">
        <f t="array" ref="H2839">IF(ISBLANK(E2839), "", INDEX(Categories!$B:$B,MATCH(E2839,Categories!$A:$A,0)))</f>
        <v/>
      </c>
      <c r="I2839" s="7" t="str">
        <f t="array" ref="I2839">IF(ISBLANK(F2839), "", INDEX(Categories!$B:$B,MATCH(F2839,Categories!$A:$A,0)))</f>
        <v/>
      </c>
      <c r="J2839" s="4"/>
      <c r="K2839" s="4"/>
      <c r="L2839" s="4"/>
      <c r="M2839" s="4"/>
      <c r="N2839" s="4"/>
      <c r="O2839" s="4"/>
      <c r="P2839" s="4"/>
      <c r="Q2839" s="4"/>
    </row>
    <row r="2840">
      <c r="A2840" s="5">
        <v>2839.0</v>
      </c>
      <c r="B2840" s="5" t="s">
        <v>3393</v>
      </c>
      <c r="C2840" s="5" t="s">
        <v>96</v>
      </c>
      <c r="D2840" s="6">
        <f>IFERROR(__xludf.DUMMYFUNCTION("SPLIT(MID(C2840,2,LEN(C2840)-2), "","")"),572.0)</f>
        <v>572</v>
      </c>
      <c r="E2840" s="7"/>
      <c r="F2840" s="7"/>
      <c r="G2840" s="2" t="str">
        <f t="array" ref="G2840">IF(ISBLANK(D2840), "", INDEX(Categories!$B:$B,MATCH(D2840,Categories!$A:$A,0)))</f>
        <v>Groceries</v>
      </c>
      <c r="H2840" s="7" t="str">
        <f t="array" ref="H2840">IF(ISBLANK(E2840), "", INDEX(Categories!$B:$B,MATCH(E2840,Categories!$A:$A,0)))</f>
        <v/>
      </c>
      <c r="I2840" s="7" t="str">
        <f t="array" ref="I2840">IF(ISBLANK(F2840), "", INDEX(Categories!$B:$B,MATCH(F2840,Categories!$A:$A,0)))</f>
        <v/>
      </c>
      <c r="J2840" s="4"/>
      <c r="K2840" s="4"/>
      <c r="L2840" s="4"/>
      <c r="M2840" s="4"/>
      <c r="N2840" s="4"/>
      <c r="O2840" s="4"/>
      <c r="P2840" s="4"/>
      <c r="Q2840" s="4"/>
    </row>
    <row r="2841">
      <c r="A2841" s="5">
        <v>2840.0</v>
      </c>
      <c r="B2841" s="5" t="s">
        <v>3394</v>
      </c>
      <c r="C2841" s="5" t="s">
        <v>96</v>
      </c>
      <c r="D2841" s="6">
        <f>IFERROR(__xludf.DUMMYFUNCTION("SPLIT(MID(C2841,2,LEN(C2841)-2), "","")"),572.0)</f>
        <v>572</v>
      </c>
      <c r="E2841" s="7"/>
      <c r="F2841" s="7"/>
      <c r="G2841" s="2" t="str">
        <f t="array" ref="G2841">IF(ISBLANK(D2841), "", INDEX(Categories!$B:$B,MATCH(D2841,Categories!$A:$A,0)))</f>
        <v>Groceries</v>
      </c>
      <c r="H2841" s="7" t="str">
        <f t="array" ref="H2841">IF(ISBLANK(E2841), "", INDEX(Categories!$B:$B,MATCH(E2841,Categories!$A:$A,0)))</f>
        <v/>
      </c>
      <c r="I2841" s="7" t="str">
        <f t="array" ref="I2841">IF(ISBLANK(F2841), "", INDEX(Categories!$B:$B,MATCH(F2841,Categories!$A:$A,0)))</f>
        <v/>
      </c>
      <c r="J2841" s="4"/>
      <c r="K2841" s="4"/>
      <c r="L2841" s="4"/>
      <c r="M2841" s="4"/>
      <c r="N2841" s="4"/>
      <c r="O2841" s="4"/>
      <c r="P2841" s="4"/>
      <c r="Q2841" s="4"/>
    </row>
    <row r="2842">
      <c r="A2842" s="5">
        <v>2841.0</v>
      </c>
      <c r="B2842" s="5" t="s">
        <v>3395</v>
      </c>
      <c r="C2842" s="5" t="s">
        <v>1951</v>
      </c>
      <c r="D2842" s="6">
        <f>IFERROR(__xludf.DUMMYFUNCTION("SPLIT(MID(C2842,2,LEN(C2842)-2), "","")"),1042.0)</f>
        <v>1042</v>
      </c>
      <c r="E2842" s="7"/>
      <c r="F2842" s="7"/>
      <c r="G2842" s="2" t="str">
        <f t="array" ref="G2842">IF(ISBLANK(D2842), "", INDEX(Categories!$B:$B,MATCH(D2842,Categories!$A:$A,0)))</f>
        <v>Hardware Tools &amp; Services</v>
      </c>
      <c r="H2842" s="7" t="str">
        <f t="array" ref="H2842">IF(ISBLANK(E2842), "", INDEX(Categories!$B:$B,MATCH(E2842,Categories!$A:$A,0)))</f>
        <v/>
      </c>
      <c r="I2842" s="7" t="str">
        <f t="array" ref="I2842">IF(ISBLANK(F2842), "", INDEX(Categories!$B:$B,MATCH(F2842,Categories!$A:$A,0)))</f>
        <v/>
      </c>
      <c r="J2842" s="4"/>
      <c r="K2842" s="4"/>
      <c r="L2842" s="4"/>
      <c r="M2842" s="4"/>
      <c r="N2842" s="4"/>
      <c r="O2842" s="4"/>
      <c r="P2842" s="4"/>
      <c r="Q2842" s="4"/>
    </row>
    <row r="2843">
      <c r="A2843" s="5">
        <v>2842.0</v>
      </c>
      <c r="B2843" s="5" t="s">
        <v>3396</v>
      </c>
      <c r="C2843" s="5" t="s">
        <v>2516</v>
      </c>
      <c r="D2843" s="6">
        <f>IFERROR(__xludf.DUMMYFUNCTION("SPLIT(MID(C2843,2,LEN(C2843)-2), "","")"),1116.0)</f>
        <v>1116</v>
      </c>
      <c r="E2843" s="7"/>
      <c r="F2843" s="7"/>
      <c r="G2843" s="2" t="str">
        <f t="array" ref="G2843">IF(ISBLANK(D2843), "", INDEX(Categories!$B:$B,MATCH(D2843,Categories!$A:$A,0)))</f>
        <v>Liquor Stores</v>
      </c>
      <c r="H2843" s="7" t="str">
        <f t="array" ref="H2843">IF(ISBLANK(E2843), "", INDEX(Categories!$B:$B,MATCH(E2843,Categories!$A:$A,0)))</f>
        <v/>
      </c>
      <c r="I2843" s="7" t="str">
        <f t="array" ref="I2843">IF(ISBLANK(F2843), "", INDEX(Categories!$B:$B,MATCH(F2843,Categories!$A:$A,0)))</f>
        <v/>
      </c>
      <c r="J2843" s="4"/>
      <c r="K2843" s="4"/>
      <c r="L2843" s="4"/>
      <c r="M2843" s="4"/>
      <c r="N2843" s="4"/>
      <c r="O2843" s="4"/>
      <c r="P2843" s="4"/>
      <c r="Q2843" s="4"/>
    </row>
    <row r="2844">
      <c r="A2844" s="5">
        <v>2843.0</v>
      </c>
      <c r="B2844" s="5" t="s">
        <v>3397</v>
      </c>
      <c r="C2844" s="5" t="s">
        <v>2516</v>
      </c>
      <c r="D2844" s="6">
        <f>IFERROR(__xludf.DUMMYFUNCTION("SPLIT(MID(C2844,2,LEN(C2844)-2), "","")"),1116.0)</f>
        <v>1116</v>
      </c>
      <c r="E2844" s="7"/>
      <c r="F2844" s="7"/>
      <c r="G2844" s="2" t="str">
        <f t="array" ref="G2844">IF(ISBLANK(D2844), "", INDEX(Categories!$B:$B,MATCH(D2844,Categories!$A:$A,0)))</f>
        <v>Liquor Stores</v>
      </c>
      <c r="H2844" s="7" t="str">
        <f t="array" ref="H2844">IF(ISBLANK(E2844), "", INDEX(Categories!$B:$B,MATCH(E2844,Categories!$A:$A,0)))</f>
        <v/>
      </c>
      <c r="I2844" s="7" t="str">
        <f t="array" ref="I2844">IF(ISBLANK(F2844), "", INDEX(Categories!$B:$B,MATCH(F2844,Categories!$A:$A,0)))</f>
        <v/>
      </c>
      <c r="J2844" s="4"/>
      <c r="K2844" s="4"/>
      <c r="L2844" s="4"/>
      <c r="M2844" s="4"/>
      <c r="N2844" s="4"/>
      <c r="O2844" s="4"/>
      <c r="P2844" s="4"/>
      <c r="Q2844" s="4"/>
    </row>
    <row r="2845">
      <c r="A2845" s="5">
        <v>2844.0</v>
      </c>
      <c r="B2845" s="5" t="s">
        <v>3398</v>
      </c>
      <c r="C2845" s="5" t="s">
        <v>2516</v>
      </c>
      <c r="D2845" s="6">
        <f>IFERROR(__xludf.DUMMYFUNCTION("SPLIT(MID(C2845,2,LEN(C2845)-2), "","")"),1116.0)</f>
        <v>1116</v>
      </c>
      <c r="E2845" s="7"/>
      <c r="F2845" s="7"/>
      <c r="G2845" s="2" t="str">
        <f t="array" ref="G2845">IF(ISBLANK(D2845), "", INDEX(Categories!$B:$B,MATCH(D2845,Categories!$A:$A,0)))</f>
        <v>Liquor Stores</v>
      </c>
      <c r="H2845" s="7" t="str">
        <f t="array" ref="H2845">IF(ISBLANK(E2845), "", INDEX(Categories!$B:$B,MATCH(E2845,Categories!$A:$A,0)))</f>
        <v/>
      </c>
      <c r="I2845" s="7" t="str">
        <f t="array" ref="I2845">IF(ISBLANK(F2845), "", INDEX(Categories!$B:$B,MATCH(F2845,Categories!$A:$A,0)))</f>
        <v/>
      </c>
      <c r="J2845" s="4"/>
      <c r="K2845" s="4"/>
      <c r="L2845" s="4"/>
      <c r="M2845" s="4"/>
      <c r="N2845" s="4"/>
      <c r="O2845" s="4"/>
      <c r="P2845" s="4"/>
      <c r="Q2845" s="4"/>
    </row>
    <row r="2846">
      <c r="A2846" s="5">
        <v>2845.0</v>
      </c>
      <c r="B2846" s="5" t="s">
        <v>3399</v>
      </c>
      <c r="C2846" s="5" t="s">
        <v>702</v>
      </c>
      <c r="D2846" s="6">
        <f>IFERROR(__xludf.DUMMYFUNCTION("SPLIT(MID(C2846,2,LEN(C2846)-2), "","")"),1873.0)</f>
        <v>1873</v>
      </c>
      <c r="E2846" s="7"/>
      <c r="F2846" s="7"/>
      <c r="G2846" s="2" t="str">
        <f t="array" ref="G2846">IF(ISBLANK(D2846), "", INDEX(Categories!$B:$B,MATCH(D2846,Categories!$A:$A,0)))</f>
        <v>Pet Services &amp; Supplies</v>
      </c>
      <c r="H2846" s="7" t="str">
        <f t="array" ref="H2846">IF(ISBLANK(E2846), "", INDEX(Categories!$B:$B,MATCH(E2846,Categories!$A:$A,0)))</f>
        <v/>
      </c>
      <c r="I2846" s="7" t="str">
        <f t="array" ref="I2846">IF(ISBLANK(F2846), "", INDEX(Categories!$B:$B,MATCH(F2846,Categories!$A:$A,0)))</f>
        <v/>
      </c>
      <c r="J2846" s="4"/>
      <c r="K2846" s="4"/>
      <c r="L2846" s="4"/>
      <c r="M2846" s="4"/>
      <c r="N2846" s="4"/>
      <c r="O2846" s="4"/>
      <c r="P2846" s="4"/>
      <c r="Q2846" s="4"/>
    </row>
    <row r="2847">
      <c r="A2847" s="5">
        <v>2846.0</v>
      </c>
      <c r="B2847" s="5" t="s">
        <v>3400</v>
      </c>
      <c r="C2847" s="5" t="s">
        <v>200</v>
      </c>
      <c r="D2847" s="6">
        <f>IFERROR(__xludf.DUMMYFUNCTION("SPLIT(MID(C2847,2,LEN(C2847)-2), "","")"),316.0)</f>
        <v>316</v>
      </c>
      <c r="E2847" s="7"/>
      <c r="F2847" s="7"/>
      <c r="G2847" s="2" t="str">
        <f t="array" ref="G2847">IF(ISBLANK(D2847), "", INDEX(Categories!$B:$B,MATCH(D2847,Categories!$A:$A,0)))</f>
        <v>Sporting Goods</v>
      </c>
      <c r="H2847" s="7" t="str">
        <f t="array" ref="H2847">IF(ISBLANK(E2847), "", INDEX(Categories!$B:$B,MATCH(E2847,Categories!$A:$A,0)))</f>
        <v/>
      </c>
      <c r="I2847" s="7" t="str">
        <f t="array" ref="I2847">IF(ISBLANK(F2847), "", INDEX(Categories!$B:$B,MATCH(F2847,Categories!$A:$A,0)))</f>
        <v/>
      </c>
      <c r="J2847" s="4"/>
      <c r="K2847" s="4"/>
      <c r="L2847" s="4"/>
      <c r="M2847" s="4"/>
      <c r="N2847" s="4"/>
      <c r="O2847" s="4"/>
      <c r="P2847" s="4"/>
      <c r="Q2847" s="4"/>
    </row>
    <row r="2848">
      <c r="A2848" s="5">
        <v>2847.0</v>
      </c>
      <c r="B2848" s="5" t="s">
        <v>3401</v>
      </c>
      <c r="C2848" s="5" t="s">
        <v>200</v>
      </c>
      <c r="D2848" s="6">
        <f>IFERROR(__xludf.DUMMYFUNCTION("SPLIT(MID(C2848,2,LEN(C2848)-2), "","")"),316.0)</f>
        <v>316</v>
      </c>
      <c r="E2848" s="7"/>
      <c r="F2848" s="7"/>
      <c r="G2848" s="2" t="str">
        <f t="array" ref="G2848">IF(ISBLANK(D2848), "", INDEX(Categories!$B:$B,MATCH(D2848,Categories!$A:$A,0)))</f>
        <v>Sporting Goods</v>
      </c>
      <c r="H2848" s="7" t="str">
        <f t="array" ref="H2848">IF(ISBLANK(E2848), "", INDEX(Categories!$B:$B,MATCH(E2848,Categories!$A:$A,0)))</f>
        <v/>
      </c>
      <c r="I2848" s="7" t="str">
        <f t="array" ref="I2848">IF(ISBLANK(F2848), "", INDEX(Categories!$B:$B,MATCH(F2848,Categories!$A:$A,0)))</f>
        <v/>
      </c>
      <c r="J2848" s="4"/>
      <c r="K2848" s="4"/>
      <c r="L2848" s="4"/>
      <c r="M2848" s="4"/>
      <c r="N2848" s="4"/>
      <c r="O2848" s="4"/>
      <c r="P2848" s="4"/>
      <c r="Q2848" s="4"/>
    </row>
    <row r="2849">
      <c r="A2849" s="5">
        <v>2848.0</v>
      </c>
      <c r="B2849" s="5" t="s">
        <v>3402</v>
      </c>
      <c r="C2849" s="5" t="s">
        <v>200</v>
      </c>
      <c r="D2849" s="6">
        <f>IFERROR(__xludf.DUMMYFUNCTION("SPLIT(MID(C2849,2,LEN(C2849)-2), "","")"),316.0)</f>
        <v>316</v>
      </c>
      <c r="E2849" s="7"/>
      <c r="F2849" s="7"/>
      <c r="G2849" s="2" t="str">
        <f t="array" ref="G2849">IF(ISBLANK(D2849), "", INDEX(Categories!$B:$B,MATCH(D2849,Categories!$A:$A,0)))</f>
        <v>Sporting Goods</v>
      </c>
      <c r="H2849" s="7" t="str">
        <f t="array" ref="H2849">IF(ISBLANK(E2849), "", INDEX(Categories!$B:$B,MATCH(E2849,Categories!$A:$A,0)))</f>
        <v/>
      </c>
      <c r="I2849" s="7" t="str">
        <f t="array" ref="I2849">IF(ISBLANK(F2849), "", INDEX(Categories!$B:$B,MATCH(F2849,Categories!$A:$A,0)))</f>
        <v/>
      </c>
      <c r="J2849" s="4"/>
      <c r="K2849" s="4"/>
      <c r="L2849" s="4"/>
      <c r="M2849" s="4"/>
      <c r="N2849" s="4"/>
      <c r="O2849" s="4"/>
      <c r="P2849" s="4"/>
      <c r="Q2849" s="4"/>
    </row>
    <row r="2850">
      <c r="A2850" s="5">
        <v>2849.0</v>
      </c>
      <c r="B2850" s="5" t="s">
        <v>3403</v>
      </c>
      <c r="C2850" s="5" t="s">
        <v>200</v>
      </c>
      <c r="D2850" s="6">
        <f>IFERROR(__xludf.DUMMYFUNCTION("SPLIT(MID(C2850,2,LEN(C2850)-2), "","")"),316.0)</f>
        <v>316</v>
      </c>
      <c r="E2850" s="7"/>
      <c r="F2850" s="7"/>
      <c r="G2850" s="2" t="str">
        <f t="array" ref="G2850">IF(ISBLANK(D2850), "", INDEX(Categories!$B:$B,MATCH(D2850,Categories!$A:$A,0)))</f>
        <v>Sporting Goods</v>
      </c>
      <c r="H2850" s="7" t="str">
        <f t="array" ref="H2850">IF(ISBLANK(E2850), "", INDEX(Categories!$B:$B,MATCH(E2850,Categories!$A:$A,0)))</f>
        <v/>
      </c>
      <c r="I2850" s="7" t="str">
        <f t="array" ref="I2850">IF(ISBLANK(F2850), "", INDEX(Categories!$B:$B,MATCH(F2850,Categories!$A:$A,0)))</f>
        <v/>
      </c>
      <c r="J2850" s="4"/>
      <c r="K2850" s="4"/>
      <c r="L2850" s="4"/>
      <c r="M2850" s="4"/>
      <c r="N2850" s="4"/>
      <c r="O2850" s="4"/>
      <c r="P2850" s="4"/>
      <c r="Q2850" s="4"/>
    </row>
    <row r="2851">
      <c r="A2851" s="5">
        <v>2850.0</v>
      </c>
      <c r="B2851" s="5" t="s">
        <v>3404</v>
      </c>
      <c r="C2851" s="5" t="s">
        <v>200</v>
      </c>
      <c r="D2851" s="6">
        <f>IFERROR(__xludf.DUMMYFUNCTION("SPLIT(MID(C2851,2,LEN(C2851)-2), "","")"),316.0)</f>
        <v>316</v>
      </c>
      <c r="E2851" s="7"/>
      <c r="F2851" s="7"/>
      <c r="G2851" s="2" t="str">
        <f t="array" ref="G2851">IF(ISBLANK(D2851), "", INDEX(Categories!$B:$B,MATCH(D2851,Categories!$A:$A,0)))</f>
        <v>Sporting Goods</v>
      </c>
      <c r="H2851" s="7" t="str">
        <f t="array" ref="H2851">IF(ISBLANK(E2851), "", INDEX(Categories!$B:$B,MATCH(E2851,Categories!$A:$A,0)))</f>
        <v/>
      </c>
      <c r="I2851" s="7" t="str">
        <f t="array" ref="I2851">IF(ISBLANK(F2851), "", INDEX(Categories!$B:$B,MATCH(F2851,Categories!$A:$A,0)))</f>
        <v/>
      </c>
      <c r="J2851" s="4"/>
      <c r="K2851" s="4"/>
      <c r="L2851" s="4"/>
      <c r="M2851" s="4"/>
      <c r="N2851" s="4"/>
      <c r="O2851" s="4"/>
      <c r="P2851" s="4"/>
      <c r="Q2851" s="4"/>
    </row>
    <row r="2852">
      <c r="A2852" s="5">
        <v>2851.0</v>
      </c>
      <c r="B2852" s="5" t="s">
        <v>3405</v>
      </c>
      <c r="C2852" s="5" t="s">
        <v>200</v>
      </c>
      <c r="D2852" s="6">
        <f>IFERROR(__xludf.DUMMYFUNCTION("SPLIT(MID(C2852,2,LEN(C2852)-2), "","")"),316.0)</f>
        <v>316</v>
      </c>
      <c r="E2852" s="7"/>
      <c r="F2852" s="7"/>
      <c r="G2852" s="2" t="str">
        <f t="array" ref="G2852">IF(ISBLANK(D2852), "", INDEX(Categories!$B:$B,MATCH(D2852,Categories!$A:$A,0)))</f>
        <v>Sporting Goods</v>
      </c>
      <c r="H2852" s="7" t="str">
        <f t="array" ref="H2852">IF(ISBLANK(E2852), "", INDEX(Categories!$B:$B,MATCH(E2852,Categories!$A:$A,0)))</f>
        <v/>
      </c>
      <c r="I2852" s="7" t="str">
        <f t="array" ref="I2852">IF(ISBLANK(F2852), "", INDEX(Categories!$B:$B,MATCH(F2852,Categories!$A:$A,0)))</f>
        <v/>
      </c>
      <c r="J2852" s="4"/>
      <c r="K2852" s="4"/>
      <c r="L2852" s="4"/>
      <c r="M2852" s="4"/>
      <c r="N2852" s="4"/>
      <c r="O2852" s="4"/>
      <c r="P2852" s="4"/>
      <c r="Q2852" s="4"/>
    </row>
    <row r="2853">
      <c r="A2853" s="5">
        <v>2852.0</v>
      </c>
      <c r="B2853" s="5" t="s">
        <v>3406</v>
      </c>
      <c r="C2853" s="5" t="s">
        <v>200</v>
      </c>
      <c r="D2853" s="6">
        <f>IFERROR(__xludf.DUMMYFUNCTION("SPLIT(MID(C2853,2,LEN(C2853)-2), "","")"),316.0)</f>
        <v>316</v>
      </c>
      <c r="E2853" s="7"/>
      <c r="F2853" s="7"/>
      <c r="G2853" s="2" t="str">
        <f t="array" ref="G2853">IF(ISBLANK(D2853), "", INDEX(Categories!$B:$B,MATCH(D2853,Categories!$A:$A,0)))</f>
        <v>Sporting Goods</v>
      </c>
      <c r="H2853" s="7" t="str">
        <f t="array" ref="H2853">IF(ISBLANK(E2853), "", INDEX(Categories!$B:$B,MATCH(E2853,Categories!$A:$A,0)))</f>
        <v/>
      </c>
      <c r="I2853" s="7" t="str">
        <f t="array" ref="I2853">IF(ISBLANK(F2853), "", INDEX(Categories!$B:$B,MATCH(F2853,Categories!$A:$A,0)))</f>
        <v/>
      </c>
      <c r="J2853" s="4"/>
      <c r="K2853" s="4"/>
      <c r="L2853" s="4"/>
      <c r="M2853" s="4"/>
      <c r="N2853" s="4"/>
      <c r="O2853" s="4"/>
      <c r="P2853" s="4"/>
      <c r="Q2853" s="4"/>
    </row>
    <row r="2854">
      <c r="A2854" s="5">
        <v>2853.0</v>
      </c>
      <c r="B2854" s="5" t="s">
        <v>3407</v>
      </c>
      <c r="C2854" s="5" t="s">
        <v>200</v>
      </c>
      <c r="D2854" s="6">
        <f>IFERROR(__xludf.DUMMYFUNCTION("SPLIT(MID(C2854,2,LEN(C2854)-2), "","")"),316.0)</f>
        <v>316</v>
      </c>
      <c r="E2854" s="7"/>
      <c r="F2854" s="7"/>
      <c r="G2854" s="2" t="str">
        <f t="array" ref="G2854">IF(ISBLANK(D2854), "", INDEX(Categories!$B:$B,MATCH(D2854,Categories!$A:$A,0)))</f>
        <v>Sporting Goods</v>
      </c>
      <c r="H2854" s="7" t="str">
        <f t="array" ref="H2854">IF(ISBLANK(E2854), "", INDEX(Categories!$B:$B,MATCH(E2854,Categories!$A:$A,0)))</f>
        <v/>
      </c>
      <c r="I2854" s="7" t="str">
        <f t="array" ref="I2854">IF(ISBLANK(F2854), "", INDEX(Categories!$B:$B,MATCH(F2854,Categories!$A:$A,0)))</f>
        <v/>
      </c>
      <c r="J2854" s="4"/>
      <c r="K2854" s="4"/>
      <c r="L2854" s="4"/>
      <c r="M2854" s="4"/>
      <c r="N2854" s="4"/>
      <c r="O2854" s="4"/>
      <c r="P2854" s="4"/>
      <c r="Q2854" s="4"/>
    </row>
    <row r="2855">
      <c r="A2855" s="5">
        <v>2854.0</v>
      </c>
      <c r="B2855" s="5" t="s">
        <v>3408</v>
      </c>
      <c r="C2855" s="5" t="s">
        <v>200</v>
      </c>
      <c r="D2855" s="6">
        <f>IFERROR(__xludf.DUMMYFUNCTION("SPLIT(MID(C2855,2,LEN(C2855)-2), "","")"),316.0)</f>
        <v>316</v>
      </c>
      <c r="E2855" s="7"/>
      <c r="F2855" s="7"/>
      <c r="G2855" s="2" t="str">
        <f t="array" ref="G2855">IF(ISBLANK(D2855), "", INDEX(Categories!$B:$B,MATCH(D2855,Categories!$A:$A,0)))</f>
        <v>Sporting Goods</v>
      </c>
      <c r="H2855" s="7" t="str">
        <f t="array" ref="H2855">IF(ISBLANK(E2855), "", INDEX(Categories!$B:$B,MATCH(E2855,Categories!$A:$A,0)))</f>
        <v/>
      </c>
      <c r="I2855" s="7" t="str">
        <f t="array" ref="I2855">IF(ISBLANK(F2855), "", INDEX(Categories!$B:$B,MATCH(F2855,Categories!$A:$A,0)))</f>
        <v/>
      </c>
      <c r="J2855" s="4"/>
      <c r="K2855" s="4"/>
      <c r="L2855" s="4"/>
      <c r="M2855" s="4"/>
      <c r="N2855" s="4"/>
      <c r="O2855" s="4"/>
      <c r="P2855" s="4"/>
      <c r="Q2855" s="4"/>
    </row>
    <row r="2856">
      <c r="A2856" s="5">
        <v>2855.0</v>
      </c>
      <c r="B2856" s="5" t="s">
        <v>3409</v>
      </c>
      <c r="C2856" s="5" t="s">
        <v>562</v>
      </c>
      <c r="D2856" s="6">
        <f>IFERROR(__xludf.DUMMYFUNCTION("SPLIT(MID(C2856,2,LEN(C2856)-2), "","")"),162.0)</f>
        <v>162</v>
      </c>
      <c r="E2856" s="7"/>
      <c r="F2856" s="7"/>
      <c r="G2856" s="2" t="str">
        <f t="array" ref="G2856">IF(ISBLANK(D2856), "", INDEX(Categories!$B:$B,MATCH(D2856,Categories!$A:$A,0)))</f>
        <v>Hotels, Motels, &amp; Lodging</v>
      </c>
      <c r="H2856" s="7" t="str">
        <f t="array" ref="H2856">IF(ISBLANK(E2856), "", INDEX(Categories!$B:$B,MATCH(E2856,Categories!$A:$A,0)))</f>
        <v/>
      </c>
      <c r="I2856" s="7" t="str">
        <f t="array" ref="I2856">IF(ISBLANK(F2856), "", INDEX(Categories!$B:$B,MATCH(F2856,Categories!$A:$A,0)))</f>
        <v/>
      </c>
      <c r="J2856" s="4"/>
      <c r="K2856" s="4"/>
      <c r="L2856" s="4"/>
      <c r="M2856" s="4"/>
      <c r="N2856" s="4"/>
      <c r="O2856" s="4"/>
      <c r="P2856" s="4"/>
      <c r="Q2856" s="4"/>
    </row>
    <row r="2857">
      <c r="A2857" s="5">
        <v>2856.0</v>
      </c>
      <c r="B2857" s="5" t="s">
        <v>3410</v>
      </c>
      <c r="C2857" s="5" t="s">
        <v>562</v>
      </c>
      <c r="D2857" s="6">
        <f>IFERROR(__xludf.DUMMYFUNCTION("SPLIT(MID(C2857,2,LEN(C2857)-2), "","")"),162.0)</f>
        <v>162</v>
      </c>
      <c r="E2857" s="7"/>
      <c r="F2857" s="7"/>
      <c r="G2857" s="2" t="str">
        <f t="array" ref="G2857">IF(ISBLANK(D2857), "", INDEX(Categories!$B:$B,MATCH(D2857,Categories!$A:$A,0)))</f>
        <v>Hotels, Motels, &amp; Lodging</v>
      </c>
      <c r="H2857" s="7" t="str">
        <f t="array" ref="H2857">IF(ISBLANK(E2857), "", INDEX(Categories!$B:$B,MATCH(E2857,Categories!$A:$A,0)))</f>
        <v/>
      </c>
      <c r="I2857" s="7" t="str">
        <f t="array" ref="I2857">IF(ISBLANK(F2857), "", INDEX(Categories!$B:$B,MATCH(F2857,Categories!$A:$A,0)))</f>
        <v/>
      </c>
      <c r="J2857" s="4"/>
      <c r="K2857" s="4"/>
      <c r="L2857" s="4"/>
      <c r="M2857" s="4"/>
      <c r="N2857" s="4"/>
      <c r="O2857" s="4"/>
      <c r="P2857" s="4"/>
      <c r="Q2857" s="4"/>
    </row>
    <row r="2858">
      <c r="A2858" s="5">
        <v>2857.0</v>
      </c>
      <c r="B2858" s="5" t="s">
        <v>3411</v>
      </c>
      <c r="C2858" s="5" t="s">
        <v>562</v>
      </c>
      <c r="D2858" s="6">
        <f>IFERROR(__xludf.DUMMYFUNCTION("SPLIT(MID(C2858,2,LEN(C2858)-2), "","")"),162.0)</f>
        <v>162</v>
      </c>
      <c r="E2858" s="7"/>
      <c r="F2858" s="7"/>
      <c r="G2858" s="2" t="str">
        <f t="array" ref="G2858">IF(ISBLANK(D2858), "", INDEX(Categories!$B:$B,MATCH(D2858,Categories!$A:$A,0)))</f>
        <v>Hotels, Motels, &amp; Lodging</v>
      </c>
      <c r="H2858" s="7" t="str">
        <f t="array" ref="H2858">IF(ISBLANK(E2858), "", INDEX(Categories!$B:$B,MATCH(E2858,Categories!$A:$A,0)))</f>
        <v/>
      </c>
      <c r="I2858" s="7" t="str">
        <f t="array" ref="I2858">IF(ISBLANK(F2858), "", INDEX(Categories!$B:$B,MATCH(F2858,Categories!$A:$A,0)))</f>
        <v/>
      </c>
      <c r="J2858" s="4"/>
      <c r="K2858" s="4"/>
      <c r="L2858" s="4"/>
      <c r="M2858" s="4"/>
      <c r="N2858" s="4"/>
      <c r="O2858" s="4"/>
      <c r="P2858" s="4"/>
      <c r="Q2858" s="4"/>
    </row>
    <row r="2859">
      <c r="A2859" s="5">
        <v>2858.0</v>
      </c>
      <c r="B2859" s="5" t="s">
        <v>3412</v>
      </c>
      <c r="C2859" s="5" t="s">
        <v>562</v>
      </c>
      <c r="D2859" s="6">
        <f>IFERROR(__xludf.DUMMYFUNCTION("SPLIT(MID(C2859,2,LEN(C2859)-2), "","")"),162.0)</f>
        <v>162</v>
      </c>
      <c r="E2859" s="7"/>
      <c r="F2859" s="7"/>
      <c r="G2859" s="2" t="str">
        <f t="array" ref="G2859">IF(ISBLANK(D2859), "", INDEX(Categories!$B:$B,MATCH(D2859,Categories!$A:$A,0)))</f>
        <v>Hotels, Motels, &amp; Lodging</v>
      </c>
      <c r="H2859" s="7" t="str">
        <f t="array" ref="H2859">IF(ISBLANK(E2859), "", INDEX(Categories!$B:$B,MATCH(E2859,Categories!$A:$A,0)))</f>
        <v/>
      </c>
      <c r="I2859" s="7" t="str">
        <f t="array" ref="I2859">IF(ISBLANK(F2859), "", INDEX(Categories!$B:$B,MATCH(F2859,Categories!$A:$A,0)))</f>
        <v/>
      </c>
      <c r="J2859" s="4"/>
      <c r="K2859" s="4"/>
      <c r="L2859" s="4"/>
      <c r="M2859" s="4"/>
      <c r="N2859" s="4"/>
      <c r="O2859" s="4"/>
      <c r="P2859" s="4"/>
      <c r="Q2859" s="4"/>
    </row>
    <row r="2860">
      <c r="A2860" s="5">
        <v>2859.0</v>
      </c>
      <c r="B2860" s="5" t="s">
        <v>3413</v>
      </c>
      <c r="C2860" s="5" t="s">
        <v>562</v>
      </c>
      <c r="D2860" s="6">
        <f>IFERROR(__xludf.DUMMYFUNCTION("SPLIT(MID(C2860,2,LEN(C2860)-2), "","")"),162.0)</f>
        <v>162</v>
      </c>
      <c r="E2860" s="7"/>
      <c r="F2860" s="7"/>
      <c r="G2860" s="2" t="str">
        <f t="array" ref="G2860">IF(ISBLANK(D2860), "", INDEX(Categories!$B:$B,MATCH(D2860,Categories!$A:$A,0)))</f>
        <v>Hotels, Motels, &amp; Lodging</v>
      </c>
      <c r="H2860" s="7" t="str">
        <f t="array" ref="H2860">IF(ISBLANK(E2860), "", INDEX(Categories!$B:$B,MATCH(E2860,Categories!$A:$A,0)))</f>
        <v/>
      </c>
      <c r="I2860" s="7" t="str">
        <f t="array" ref="I2860">IF(ISBLANK(F2860), "", INDEX(Categories!$B:$B,MATCH(F2860,Categories!$A:$A,0)))</f>
        <v/>
      </c>
      <c r="J2860" s="4"/>
      <c r="K2860" s="4"/>
      <c r="L2860" s="4"/>
      <c r="M2860" s="4"/>
      <c r="N2860" s="4"/>
      <c r="O2860" s="4"/>
      <c r="P2860" s="4"/>
      <c r="Q2860" s="4"/>
    </row>
    <row r="2861">
      <c r="A2861" s="5">
        <v>2860.0</v>
      </c>
      <c r="B2861" s="5" t="s">
        <v>3414</v>
      </c>
      <c r="C2861" s="5" t="s">
        <v>562</v>
      </c>
      <c r="D2861" s="6">
        <f>IFERROR(__xludf.DUMMYFUNCTION("SPLIT(MID(C2861,2,LEN(C2861)-2), "","")"),162.0)</f>
        <v>162</v>
      </c>
      <c r="E2861" s="7"/>
      <c r="F2861" s="7"/>
      <c r="G2861" s="2" t="str">
        <f t="array" ref="G2861">IF(ISBLANK(D2861), "", INDEX(Categories!$B:$B,MATCH(D2861,Categories!$A:$A,0)))</f>
        <v>Hotels, Motels, &amp; Lodging</v>
      </c>
      <c r="H2861" s="7" t="str">
        <f t="array" ref="H2861">IF(ISBLANK(E2861), "", INDEX(Categories!$B:$B,MATCH(E2861,Categories!$A:$A,0)))</f>
        <v/>
      </c>
      <c r="I2861" s="7" t="str">
        <f t="array" ref="I2861">IF(ISBLANK(F2861), "", INDEX(Categories!$B:$B,MATCH(F2861,Categories!$A:$A,0)))</f>
        <v/>
      </c>
      <c r="J2861" s="4"/>
      <c r="K2861" s="4"/>
      <c r="L2861" s="4"/>
      <c r="M2861" s="4"/>
      <c r="N2861" s="4"/>
      <c r="O2861" s="4"/>
      <c r="P2861" s="4"/>
      <c r="Q2861" s="4"/>
    </row>
    <row r="2862">
      <c r="A2862" s="5">
        <v>2861.0</v>
      </c>
      <c r="B2862" s="5" t="s">
        <v>3415</v>
      </c>
      <c r="C2862" s="5" t="s">
        <v>562</v>
      </c>
      <c r="D2862" s="6">
        <f>IFERROR(__xludf.DUMMYFUNCTION("SPLIT(MID(C2862,2,LEN(C2862)-2), "","")"),162.0)</f>
        <v>162</v>
      </c>
      <c r="E2862" s="7"/>
      <c r="F2862" s="7"/>
      <c r="G2862" s="2" t="str">
        <f t="array" ref="G2862">IF(ISBLANK(D2862), "", INDEX(Categories!$B:$B,MATCH(D2862,Categories!$A:$A,0)))</f>
        <v>Hotels, Motels, &amp; Lodging</v>
      </c>
      <c r="H2862" s="7" t="str">
        <f t="array" ref="H2862">IF(ISBLANK(E2862), "", INDEX(Categories!$B:$B,MATCH(E2862,Categories!$A:$A,0)))</f>
        <v/>
      </c>
      <c r="I2862" s="7" t="str">
        <f t="array" ref="I2862">IF(ISBLANK(F2862), "", INDEX(Categories!$B:$B,MATCH(F2862,Categories!$A:$A,0)))</f>
        <v/>
      </c>
      <c r="J2862" s="4"/>
      <c r="K2862" s="4"/>
      <c r="L2862" s="4"/>
      <c r="M2862" s="4"/>
      <c r="N2862" s="4"/>
      <c r="O2862" s="4"/>
      <c r="P2862" s="4"/>
      <c r="Q2862" s="4"/>
    </row>
    <row r="2863">
      <c r="A2863" s="5">
        <v>2862.0</v>
      </c>
      <c r="B2863" s="5" t="s">
        <v>3416</v>
      </c>
      <c r="C2863" s="5" t="s">
        <v>562</v>
      </c>
      <c r="D2863" s="6">
        <f>IFERROR(__xludf.DUMMYFUNCTION("SPLIT(MID(C2863,2,LEN(C2863)-2), "","")"),162.0)</f>
        <v>162</v>
      </c>
      <c r="E2863" s="7"/>
      <c r="F2863" s="7"/>
      <c r="G2863" s="2" t="str">
        <f t="array" ref="G2863">IF(ISBLANK(D2863), "", INDEX(Categories!$B:$B,MATCH(D2863,Categories!$A:$A,0)))</f>
        <v>Hotels, Motels, &amp; Lodging</v>
      </c>
      <c r="H2863" s="7" t="str">
        <f t="array" ref="H2863">IF(ISBLANK(E2863), "", INDEX(Categories!$B:$B,MATCH(E2863,Categories!$A:$A,0)))</f>
        <v/>
      </c>
      <c r="I2863" s="7" t="str">
        <f t="array" ref="I2863">IF(ISBLANK(F2863), "", INDEX(Categories!$B:$B,MATCH(F2863,Categories!$A:$A,0)))</f>
        <v/>
      </c>
      <c r="J2863" s="4"/>
      <c r="K2863" s="4"/>
      <c r="L2863" s="4"/>
      <c r="M2863" s="4"/>
      <c r="N2863" s="4"/>
      <c r="O2863" s="4"/>
      <c r="P2863" s="4"/>
      <c r="Q2863" s="4"/>
    </row>
    <row r="2864">
      <c r="A2864" s="5">
        <v>2863.0</v>
      </c>
      <c r="B2864" s="5" t="s">
        <v>3417</v>
      </c>
      <c r="C2864" s="5" t="s">
        <v>543</v>
      </c>
      <c r="D2864" s="6">
        <f>IFERROR(__xludf.DUMMYFUNCTION("SPLIT(MID(C2864,2,LEN(C2864)-2), "","")"),727.0)</f>
        <v>727</v>
      </c>
      <c r="E2864" s="7"/>
      <c r="F2864" s="7"/>
      <c r="G2864" s="2" t="str">
        <f t="array" ref="G2864">IF(ISBLANK(D2864), "", INDEX(Categories!$B:$B,MATCH(D2864,Categories!$A:$A,0)))</f>
        <v>Airlines &amp; Airports</v>
      </c>
      <c r="H2864" s="7" t="str">
        <f t="array" ref="H2864">IF(ISBLANK(E2864), "", INDEX(Categories!$B:$B,MATCH(E2864,Categories!$A:$A,0)))</f>
        <v/>
      </c>
      <c r="I2864" s="7" t="str">
        <f t="array" ref="I2864">IF(ISBLANK(F2864), "", INDEX(Categories!$B:$B,MATCH(F2864,Categories!$A:$A,0)))</f>
        <v/>
      </c>
      <c r="J2864" s="4"/>
      <c r="K2864" s="4"/>
      <c r="L2864" s="4"/>
      <c r="M2864" s="4"/>
      <c r="N2864" s="4"/>
      <c r="O2864" s="4"/>
      <c r="P2864" s="4"/>
      <c r="Q2864" s="4"/>
    </row>
    <row r="2865">
      <c r="A2865" s="5">
        <v>2864.0</v>
      </c>
      <c r="B2865" s="5" t="s">
        <v>3418</v>
      </c>
      <c r="C2865" s="5" t="s">
        <v>543</v>
      </c>
      <c r="D2865" s="6">
        <f>IFERROR(__xludf.DUMMYFUNCTION("SPLIT(MID(C2865,2,LEN(C2865)-2), "","")"),727.0)</f>
        <v>727</v>
      </c>
      <c r="E2865" s="7"/>
      <c r="F2865" s="7"/>
      <c r="G2865" s="2" t="str">
        <f t="array" ref="G2865">IF(ISBLANK(D2865), "", INDEX(Categories!$B:$B,MATCH(D2865,Categories!$A:$A,0)))</f>
        <v>Airlines &amp; Airports</v>
      </c>
      <c r="H2865" s="7" t="str">
        <f t="array" ref="H2865">IF(ISBLANK(E2865), "", INDEX(Categories!$B:$B,MATCH(E2865,Categories!$A:$A,0)))</f>
        <v/>
      </c>
      <c r="I2865" s="7" t="str">
        <f t="array" ref="I2865">IF(ISBLANK(F2865), "", INDEX(Categories!$B:$B,MATCH(F2865,Categories!$A:$A,0)))</f>
        <v/>
      </c>
      <c r="J2865" s="4"/>
      <c r="K2865" s="4"/>
      <c r="L2865" s="4"/>
      <c r="M2865" s="4"/>
      <c r="N2865" s="4"/>
      <c r="O2865" s="4"/>
      <c r="P2865" s="4"/>
      <c r="Q2865" s="4"/>
    </row>
    <row r="2866">
      <c r="A2866" s="5">
        <v>2865.0</v>
      </c>
      <c r="B2866" s="5" t="s">
        <v>3419</v>
      </c>
      <c r="C2866" s="5" t="s">
        <v>543</v>
      </c>
      <c r="D2866" s="6">
        <f>IFERROR(__xludf.DUMMYFUNCTION("SPLIT(MID(C2866,2,LEN(C2866)-2), "","")"),727.0)</f>
        <v>727</v>
      </c>
      <c r="E2866" s="7"/>
      <c r="F2866" s="7"/>
      <c r="G2866" s="2" t="str">
        <f t="array" ref="G2866">IF(ISBLANK(D2866), "", INDEX(Categories!$B:$B,MATCH(D2866,Categories!$A:$A,0)))</f>
        <v>Airlines &amp; Airports</v>
      </c>
      <c r="H2866" s="7" t="str">
        <f t="array" ref="H2866">IF(ISBLANK(E2866), "", INDEX(Categories!$B:$B,MATCH(E2866,Categories!$A:$A,0)))</f>
        <v/>
      </c>
      <c r="I2866" s="7" t="str">
        <f t="array" ref="I2866">IF(ISBLANK(F2866), "", INDEX(Categories!$B:$B,MATCH(F2866,Categories!$A:$A,0)))</f>
        <v/>
      </c>
      <c r="J2866" s="4"/>
      <c r="K2866" s="4"/>
      <c r="L2866" s="4"/>
      <c r="M2866" s="4"/>
      <c r="N2866" s="4"/>
      <c r="O2866" s="4"/>
      <c r="P2866" s="4"/>
      <c r="Q2866" s="4"/>
    </row>
    <row r="2867">
      <c r="A2867" s="5">
        <v>2866.0</v>
      </c>
      <c r="B2867" s="5" t="s">
        <v>3420</v>
      </c>
      <c r="C2867" s="5" t="s">
        <v>543</v>
      </c>
      <c r="D2867" s="6">
        <f>IFERROR(__xludf.DUMMYFUNCTION("SPLIT(MID(C2867,2,LEN(C2867)-2), "","")"),727.0)</f>
        <v>727</v>
      </c>
      <c r="E2867" s="7"/>
      <c r="F2867" s="7"/>
      <c r="G2867" s="2" t="str">
        <f t="array" ref="G2867">IF(ISBLANK(D2867), "", INDEX(Categories!$B:$B,MATCH(D2867,Categories!$A:$A,0)))</f>
        <v>Airlines &amp; Airports</v>
      </c>
      <c r="H2867" s="7" t="str">
        <f t="array" ref="H2867">IF(ISBLANK(E2867), "", INDEX(Categories!$B:$B,MATCH(E2867,Categories!$A:$A,0)))</f>
        <v/>
      </c>
      <c r="I2867" s="7" t="str">
        <f t="array" ref="I2867">IF(ISBLANK(F2867), "", INDEX(Categories!$B:$B,MATCH(F2867,Categories!$A:$A,0)))</f>
        <v/>
      </c>
      <c r="J2867" s="4"/>
      <c r="K2867" s="4"/>
      <c r="L2867" s="4"/>
      <c r="M2867" s="4"/>
      <c r="N2867" s="4"/>
      <c r="O2867" s="4"/>
      <c r="P2867" s="4"/>
      <c r="Q2867" s="4"/>
    </row>
    <row r="2868">
      <c r="A2868" s="5">
        <v>2867.0</v>
      </c>
      <c r="B2868" s="5" t="s">
        <v>3421</v>
      </c>
      <c r="C2868" s="5" t="s">
        <v>543</v>
      </c>
      <c r="D2868" s="6">
        <f>IFERROR(__xludf.DUMMYFUNCTION("SPLIT(MID(C2868,2,LEN(C2868)-2), "","")"),727.0)</f>
        <v>727</v>
      </c>
      <c r="E2868" s="7"/>
      <c r="F2868" s="7"/>
      <c r="G2868" s="2" t="str">
        <f t="array" ref="G2868">IF(ISBLANK(D2868), "", INDEX(Categories!$B:$B,MATCH(D2868,Categories!$A:$A,0)))</f>
        <v>Airlines &amp; Airports</v>
      </c>
      <c r="H2868" s="7" t="str">
        <f t="array" ref="H2868">IF(ISBLANK(E2868), "", INDEX(Categories!$B:$B,MATCH(E2868,Categories!$A:$A,0)))</f>
        <v/>
      </c>
      <c r="I2868" s="7" t="str">
        <f t="array" ref="I2868">IF(ISBLANK(F2868), "", INDEX(Categories!$B:$B,MATCH(F2868,Categories!$A:$A,0)))</f>
        <v/>
      </c>
      <c r="J2868" s="4"/>
      <c r="K2868" s="4"/>
      <c r="L2868" s="4"/>
      <c r="M2868" s="4"/>
      <c r="N2868" s="4"/>
      <c r="O2868" s="4"/>
      <c r="P2868" s="4"/>
      <c r="Q2868" s="4"/>
    </row>
    <row r="2869">
      <c r="A2869" s="5">
        <v>2868.0</v>
      </c>
      <c r="B2869" s="5" t="s">
        <v>3422</v>
      </c>
      <c r="C2869" s="5" t="s">
        <v>543</v>
      </c>
      <c r="D2869" s="6">
        <f>IFERROR(__xludf.DUMMYFUNCTION("SPLIT(MID(C2869,2,LEN(C2869)-2), "","")"),727.0)</f>
        <v>727</v>
      </c>
      <c r="E2869" s="7"/>
      <c r="F2869" s="7"/>
      <c r="G2869" s="2" t="str">
        <f t="array" ref="G2869">IF(ISBLANK(D2869), "", INDEX(Categories!$B:$B,MATCH(D2869,Categories!$A:$A,0)))</f>
        <v>Airlines &amp; Airports</v>
      </c>
      <c r="H2869" s="7" t="str">
        <f t="array" ref="H2869">IF(ISBLANK(E2869), "", INDEX(Categories!$B:$B,MATCH(E2869,Categories!$A:$A,0)))</f>
        <v/>
      </c>
      <c r="I2869" s="7" t="str">
        <f t="array" ref="I2869">IF(ISBLANK(F2869), "", INDEX(Categories!$B:$B,MATCH(F2869,Categories!$A:$A,0)))</f>
        <v/>
      </c>
      <c r="J2869" s="4"/>
      <c r="K2869" s="4"/>
      <c r="L2869" s="4"/>
      <c r="M2869" s="4"/>
      <c r="N2869" s="4"/>
      <c r="O2869" s="4"/>
      <c r="P2869" s="4"/>
      <c r="Q2869" s="4"/>
    </row>
    <row r="2870">
      <c r="A2870" s="5">
        <v>2869.0</v>
      </c>
      <c r="B2870" s="5" t="s">
        <v>3423</v>
      </c>
      <c r="C2870" s="5" t="s">
        <v>543</v>
      </c>
      <c r="D2870" s="6">
        <f>IFERROR(__xludf.DUMMYFUNCTION("SPLIT(MID(C2870,2,LEN(C2870)-2), "","")"),727.0)</f>
        <v>727</v>
      </c>
      <c r="E2870" s="7"/>
      <c r="F2870" s="7"/>
      <c r="G2870" s="2" t="str">
        <f t="array" ref="G2870">IF(ISBLANK(D2870), "", INDEX(Categories!$B:$B,MATCH(D2870,Categories!$A:$A,0)))</f>
        <v>Airlines &amp; Airports</v>
      </c>
      <c r="H2870" s="7" t="str">
        <f t="array" ref="H2870">IF(ISBLANK(E2870), "", INDEX(Categories!$B:$B,MATCH(E2870,Categories!$A:$A,0)))</f>
        <v/>
      </c>
      <c r="I2870" s="7" t="str">
        <f t="array" ref="I2870">IF(ISBLANK(F2870), "", INDEX(Categories!$B:$B,MATCH(F2870,Categories!$A:$A,0)))</f>
        <v/>
      </c>
      <c r="J2870" s="4"/>
      <c r="K2870" s="4"/>
      <c r="L2870" s="4"/>
      <c r="M2870" s="4"/>
      <c r="N2870" s="4"/>
      <c r="O2870" s="4"/>
      <c r="P2870" s="4"/>
      <c r="Q2870" s="4"/>
    </row>
    <row r="2871">
      <c r="A2871" s="5">
        <v>2870.0</v>
      </c>
      <c r="B2871" s="5" t="s">
        <v>3424</v>
      </c>
      <c r="C2871" s="5" t="s">
        <v>543</v>
      </c>
      <c r="D2871" s="6">
        <f>IFERROR(__xludf.DUMMYFUNCTION("SPLIT(MID(C2871,2,LEN(C2871)-2), "","")"),727.0)</f>
        <v>727</v>
      </c>
      <c r="E2871" s="7"/>
      <c r="F2871" s="7"/>
      <c r="G2871" s="2" t="str">
        <f t="array" ref="G2871">IF(ISBLANK(D2871), "", INDEX(Categories!$B:$B,MATCH(D2871,Categories!$A:$A,0)))</f>
        <v>Airlines &amp; Airports</v>
      </c>
      <c r="H2871" s="7" t="str">
        <f t="array" ref="H2871">IF(ISBLANK(E2871), "", INDEX(Categories!$B:$B,MATCH(E2871,Categories!$A:$A,0)))</f>
        <v/>
      </c>
      <c r="I2871" s="7" t="str">
        <f t="array" ref="I2871">IF(ISBLANK(F2871), "", INDEX(Categories!$B:$B,MATCH(F2871,Categories!$A:$A,0)))</f>
        <v/>
      </c>
      <c r="J2871" s="4"/>
      <c r="K2871" s="4"/>
      <c r="L2871" s="4"/>
      <c r="M2871" s="4"/>
      <c r="N2871" s="4"/>
      <c r="O2871" s="4"/>
      <c r="P2871" s="4"/>
      <c r="Q2871" s="4"/>
    </row>
    <row r="2872">
      <c r="A2872" s="5">
        <v>2871.0</v>
      </c>
      <c r="B2872" s="5" t="s">
        <v>3425</v>
      </c>
      <c r="C2872" s="5" t="s">
        <v>543</v>
      </c>
      <c r="D2872" s="6">
        <f>IFERROR(__xludf.DUMMYFUNCTION("SPLIT(MID(C2872,2,LEN(C2872)-2), "","")"),727.0)</f>
        <v>727</v>
      </c>
      <c r="E2872" s="7"/>
      <c r="F2872" s="7"/>
      <c r="G2872" s="2" t="str">
        <f t="array" ref="G2872">IF(ISBLANK(D2872), "", INDEX(Categories!$B:$B,MATCH(D2872,Categories!$A:$A,0)))</f>
        <v>Airlines &amp; Airports</v>
      </c>
      <c r="H2872" s="7" t="str">
        <f t="array" ref="H2872">IF(ISBLANK(E2872), "", INDEX(Categories!$B:$B,MATCH(E2872,Categories!$A:$A,0)))</f>
        <v/>
      </c>
      <c r="I2872" s="7" t="str">
        <f t="array" ref="I2872">IF(ISBLANK(F2872), "", INDEX(Categories!$B:$B,MATCH(F2872,Categories!$A:$A,0)))</f>
        <v/>
      </c>
      <c r="J2872" s="4"/>
      <c r="K2872" s="4"/>
      <c r="L2872" s="4"/>
      <c r="M2872" s="4"/>
      <c r="N2872" s="4"/>
      <c r="O2872" s="4"/>
      <c r="P2872" s="4"/>
      <c r="Q2872" s="4"/>
    </row>
    <row r="2873">
      <c r="A2873" s="5">
        <v>2872.0</v>
      </c>
      <c r="B2873" s="5" t="s">
        <v>3426</v>
      </c>
      <c r="C2873" s="5" t="s">
        <v>543</v>
      </c>
      <c r="D2873" s="6">
        <f>IFERROR(__xludf.DUMMYFUNCTION("SPLIT(MID(C2873,2,LEN(C2873)-2), "","")"),727.0)</f>
        <v>727</v>
      </c>
      <c r="E2873" s="7"/>
      <c r="F2873" s="7"/>
      <c r="G2873" s="2" t="str">
        <f t="array" ref="G2873">IF(ISBLANK(D2873), "", INDEX(Categories!$B:$B,MATCH(D2873,Categories!$A:$A,0)))</f>
        <v>Airlines &amp; Airports</v>
      </c>
      <c r="H2873" s="7" t="str">
        <f t="array" ref="H2873">IF(ISBLANK(E2873), "", INDEX(Categories!$B:$B,MATCH(E2873,Categories!$A:$A,0)))</f>
        <v/>
      </c>
      <c r="I2873" s="7" t="str">
        <f t="array" ref="I2873">IF(ISBLANK(F2873), "", INDEX(Categories!$B:$B,MATCH(F2873,Categories!$A:$A,0)))</f>
        <v/>
      </c>
      <c r="J2873" s="4"/>
      <c r="K2873" s="4"/>
      <c r="L2873" s="4"/>
      <c r="M2873" s="4"/>
      <c r="N2873" s="4"/>
      <c r="O2873" s="4"/>
      <c r="P2873" s="4"/>
      <c r="Q2873" s="4"/>
    </row>
    <row r="2874">
      <c r="A2874" s="5">
        <v>2873.0</v>
      </c>
      <c r="B2874" s="5" t="s">
        <v>3427</v>
      </c>
      <c r="C2874" s="5" t="s">
        <v>543</v>
      </c>
      <c r="D2874" s="6">
        <f>IFERROR(__xludf.DUMMYFUNCTION("SPLIT(MID(C2874,2,LEN(C2874)-2), "","")"),727.0)</f>
        <v>727</v>
      </c>
      <c r="E2874" s="7"/>
      <c r="F2874" s="7"/>
      <c r="G2874" s="2" t="str">
        <f t="array" ref="G2874">IF(ISBLANK(D2874), "", INDEX(Categories!$B:$B,MATCH(D2874,Categories!$A:$A,0)))</f>
        <v>Airlines &amp; Airports</v>
      </c>
      <c r="H2874" s="7" t="str">
        <f t="array" ref="H2874">IF(ISBLANK(E2874), "", INDEX(Categories!$B:$B,MATCH(E2874,Categories!$A:$A,0)))</f>
        <v/>
      </c>
      <c r="I2874" s="7" t="str">
        <f t="array" ref="I2874">IF(ISBLANK(F2874), "", INDEX(Categories!$B:$B,MATCH(F2874,Categories!$A:$A,0)))</f>
        <v/>
      </c>
      <c r="J2874" s="4"/>
      <c r="K2874" s="4"/>
      <c r="L2874" s="4"/>
      <c r="M2874" s="4"/>
      <c r="N2874" s="4"/>
      <c r="O2874" s="4"/>
      <c r="P2874" s="4"/>
      <c r="Q2874" s="4"/>
    </row>
    <row r="2875">
      <c r="A2875" s="5">
        <v>2874.0</v>
      </c>
      <c r="B2875" s="5" t="s">
        <v>3428</v>
      </c>
      <c r="C2875" s="5" t="s">
        <v>543</v>
      </c>
      <c r="D2875" s="6">
        <f>IFERROR(__xludf.DUMMYFUNCTION("SPLIT(MID(C2875,2,LEN(C2875)-2), "","")"),727.0)</f>
        <v>727</v>
      </c>
      <c r="E2875" s="7"/>
      <c r="F2875" s="7"/>
      <c r="G2875" s="2" t="str">
        <f t="array" ref="G2875">IF(ISBLANK(D2875), "", INDEX(Categories!$B:$B,MATCH(D2875,Categories!$A:$A,0)))</f>
        <v>Airlines &amp; Airports</v>
      </c>
      <c r="H2875" s="7" t="str">
        <f t="array" ref="H2875">IF(ISBLANK(E2875), "", INDEX(Categories!$B:$B,MATCH(E2875,Categories!$A:$A,0)))</f>
        <v/>
      </c>
      <c r="I2875" s="7" t="str">
        <f t="array" ref="I2875">IF(ISBLANK(F2875), "", INDEX(Categories!$B:$B,MATCH(F2875,Categories!$A:$A,0)))</f>
        <v/>
      </c>
      <c r="J2875" s="4"/>
      <c r="K2875" s="4"/>
      <c r="L2875" s="4"/>
      <c r="M2875" s="4"/>
      <c r="N2875" s="4"/>
      <c r="O2875" s="4"/>
      <c r="P2875" s="4"/>
      <c r="Q2875" s="4"/>
    </row>
    <row r="2876">
      <c r="A2876" s="5">
        <v>2875.0</v>
      </c>
      <c r="B2876" s="5" t="s">
        <v>3429</v>
      </c>
      <c r="C2876" s="5" t="s">
        <v>543</v>
      </c>
      <c r="D2876" s="6">
        <f>IFERROR(__xludf.DUMMYFUNCTION("SPLIT(MID(C2876,2,LEN(C2876)-2), "","")"),727.0)</f>
        <v>727</v>
      </c>
      <c r="E2876" s="7"/>
      <c r="F2876" s="7"/>
      <c r="G2876" s="2" t="str">
        <f t="array" ref="G2876">IF(ISBLANK(D2876), "", INDEX(Categories!$B:$B,MATCH(D2876,Categories!$A:$A,0)))</f>
        <v>Airlines &amp; Airports</v>
      </c>
      <c r="H2876" s="7" t="str">
        <f t="array" ref="H2876">IF(ISBLANK(E2876), "", INDEX(Categories!$B:$B,MATCH(E2876,Categories!$A:$A,0)))</f>
        <v/>
      </c>
      <c r="I2876" s="7" t="str">
        <f t="array" ref="I2876">IF(ISBLANK(F2876), "", INDEX(Categories!$B:$B,MATCH(F2876,Categories!$A:$A,0)))</f>
        <v/>
      </c>
      <c r="J2876" s="4"/>
      <c r="K2876" s="4"/>
      <c r="L2876" s="4"/>
      <c r="M2876" s="4"/>
      <c r="N2876" s="4"/>
      <c r="O2876" s="4"/>
      <c r="P2876" s="4"/>
      <c r="Q2876" s="4"/>
    </row>
    <row r="2877">
      <c r="A2877" s="5">
        <v>2876.0</v>
      </c>
      <c r="B2877" s="5" t="s">
        <v>3430</v>
      </c>
      <c r="C2877" s="5" t="s">
        <v>543</v>
      </c>
      <c r="D2877" s="6">
        <f>IFERROR(__xludf.DUMMYFUNCTION("SPLIT(MID(C2877,2,LEN(C2877)-2), "","")"),727.0)</f>
        <v>727</v>
      </c>
      <c r="E2877" s="7"/>
      <c r="F2877" s="7"/>
      <c r="G2877" s="2" t="str">
        <f t="array" ref="G2877">IF(ISBLANK(D2877), "", INDEX(Categories!$B:$B,MATCH(D2877,Categories!$A:$A,0)))</f>
        <v>Airlines &amp; Airports</v>
      </c>
      <c r="H2877" s="7" t="str">
        <f t="array" ref="H2877">IF(ISBLANK(E2877), "", INDEX(Categories!$B:$B,MATCH(E2877,Categories!$A:$A,0)))</f>
        <v/>
      </c>
      <c r="I2877" s="7" t="str">
        <f t="array" ref="I2877">IF(ISBLANK(F2877), "", INDEX(Categories!$B:$B,MATCH(F2877,Categories!$A:$A,0)))</f>
        <v/>
      </c>
      <c r="J2877" s="4"/>
      <c r="K2877" s="4"/>
      <c r="L2877" s="4"/>
      <c r="M2877" s="4"/>
      <c r="N2877" s="4"/>
      <c r="O2877" s="4"/>
      <c r="P2877" s="4"/>
      <c r="Q2877" s="4"/>
    </row>
    <row r="2878">
      <c r="A2878" s="5">
        <v>2877.0</v>
      </c>
      <c r="B2878" s="5" t="s">
        <v>3431</v>
      </c>
      <c r="C2878" s="5" t="s">
        <v>543</v>
      </c>
      <c r="D2878" s="6">
        <f>IFERROR(__xludf.DUMMYFUNCTION("SPLIT(MID(C2878,2,LEN(C2878)-2), "","")"),727.0)</f>
        <v>727</v>
      </c>
      <c r="E2878" s="7"/>
      <c r="F2878" s="7"/>
      <c r="G2878" s="2" t="str">
        <f t="array" ref="G2878">IF(ISBLANK(D2878), "", INDEX(Categories!$B:$B,MATCH(D2878,Categories!$A:$A,0)))</f>
        <v>Airlines &amp; Airports</v>
      </c>
      <c r="H2878" s="7" t="str">
        <f t="array" ref="H2878">IF(ISBLANK(E2878), "", INDEX(Categories!$B:$B,MATCH(E2878,Categories!$A:$A,0)))</f>
        <v/>
      </c>
      <c r="I2878" s="7" t="str">
        <f t="array" ref="I2878">IF(ISBLANK(F2878), "", INDEX(Categories!$B:$B,MATCH(F2878,Categories!$A:$A,0)))</f>
        <v/>
      </c>
      <c r="J2878" s="4"/>
      <c r="K2878" s="4"/>
      <c r="L2878" s="4"/>
      <c r="M2878" s="4"/>
      <c r="N2878" s="4"/>
      <c r="O2878" s="4"/>
      <c r="P2878" s="4"/>
      <c r="Q2878" s="4"/>
    </row>
    <row r="2879">
      <c r="A2879" s="5">
        <v>2878.0</v>
      </c>
      <c r="B2879" s="5" t="s">
        <v>3432</v>
      </c>
      <c r="C2879" s="5" t="s">
        <v>543</v>
      </c>
      <c r="D2879" s="6">
        <f>IFERROR(__xludf.DUMMYFUNCTION("SPLIT(MID(C2879,2,LEN(C2879)-2), "","")"),727.0)</f>
        <v>727</v>
      </c>
      <c r="E2879" s="7"/>
      <c r="F2879" s="7"/>
      <c r="G2879" s="2" t="str">
        <f t="array" ref="G2879">IF(ISBLANK(D2879), "", INDEX(Categories!$B:$B,MATCH(D2879,Categories!$A:$A,0)))</f>
        <v>Airlines &amp; Airports</v>
      </c>
      <c r="H2879" s="7" t="str">
        <f t="array" ref="H2879">IF(ISBLANK(E2879), "", INDEX(Categories!$B:$B,MATCH(E2879,Categories!$A:$A,0)))</f>
        <v/>
      </c>
      <c r="I2879" s="7" t="str">
        <f t="array" ref="I2879">IF(ISBLANK(F2879), "", INDEX(Categories!$B:$B,MATCH(F2879,Categories!$A:$A,0)))</f>
        <v/>
      </c>
      <c r="J2879" s="4"/>
      <c r="K2879" s="4"/>
      <c r="L2879" s="4"/>
      <c r="M2879" s="4"/>
      <c r="N2879" s="4"/>
      <c r="O2879" s="4"/>
      <c r="P2879" s="4"/>
      <c r="Q2879" s="4"/>
    </row>
    <row r="2880">
      <c r="A2880" s="5">
        <v>2879.0</v>
      </c>
      <c r="B2880" s="5" t="s">
        <v>3433</v>
      </c>
      <c r="C2880" s="5" t="s">
        <v>543</v>
      </c>
      <c r="D2880" s="6">
        <f>IFERROR(__xludf.DUMMYFUNCTION("SPLIT(MID(C2880,2,LEN(C2880)-2), "","")"),727.0)</f>
        <v>727</v>
      </c>
      <c r="E2880" s="7"/>
      <c r="F2880" s="7"/>
      <c r="G2880" s="2" t="str">
        <f t="array" ref="G2880">IF(ISBLANK(D2880), "", INDEX(Categories!$B:$B,MATCH(D2880,Categories!$A:$A,0)))</f>
        <v>Airlines &amp; Airports</v>
      </c>
      <c r="H2880" s="7" t="str">
        <f t="array" ref="H2880">IF(ISBLANK(E2880), "", INDEX(Categories!$B:$B,MATCH(E2880,Categories!$A:$A,0)))</f>
        <v/>
      </c>
      <c r="I2880" s="7" t="str">
        <f t="array" ref="I2880">IF(ISBLANK(F2880), "", INDEX(Categories!$B:$B,MATCH(F2880,Categories!$A:$A,0)))</f>
        <v/>
      </c>
      <c r="J2880" s="4"/>
      <c r="K2880" s="4"/>
      <c r="L2880" s="4"/>
      <c r="M2880" s="4"/>
      <c r="N2880" s="4"/>
      <c r="O2880" s="4"/>
      <c r="P2880" s="4"/>
      <c r="Q2880" s="4"/>
    </row>
    <row r="2881">
      <c r="A2881" s="5">
        <v>2880.0</v>
      </c>
      <c r="B2881" s="5" t="s">
        <v>3434</v>
      </c>
      <c r="C2881" s="5" t="s">
        <v>543</v>
      </c>
      <c r="D2881" s="6">
        <f>IFERROR(__xludf.DUMMYFUNCTION("SPLIT(MID(C2881,2,LEN(C2881)-2), "","")"),727.0)</f>
        <v>727</v>
      </c>
      <c r="E2881" s="7"/>
      <c r="F2881" s="7"/>
      <c r="G2881" s="2" t="str">
        <f t="array" ref="G2881">IF(ISBLANK(D2881), "", INDEX(Categories!$B:$B,MATCH(D2881,Categories!$A:$A,0)))</f>
        <v>Airlines &amp; Airports</v>
      </c>
      <c r="H2881" s="7" t="str">
        <f t="array" ref="H2881">IF(ISBLANK(E2881), "", INDEX(Categories!$B:$B,MATCH(E2881,Categories!$A:$A,0)))</f>
        <v/>
      </c>
      <c r="I2881" s="7" t="str">
        <f t="array" ref="I2881">IF(ISBLANK(F2881), "", INDEX(Categories!$B:$B,MATCH(F2881,Categories!$A:$A,0)))</f>
        <v/>
      </c>
      <c r="J2881" s="4"/>
      <c r="K2881" s="4"/>
      <c r="L2881" s="4"/>
      <c r="M2881" s="4"/>
      <c r="N2881" s="4"/>
      <c r="O2881" s="4"/>
      <c r="P2881" s="4"/>
      <c r="Q2881" s="4"/>
    </row>
    <row r="2882">
      <c r="A2882" s="5">
        <v>2881.0</v>
      </c>
      <c r="B2882" s="5" t="s">
        <v>3435</v>
      </c>
      <c r="C2882" s="5" t="s">
        <v>543</v>
      </c>
      <c r="D2882" s="6">
        <f>IFERROR(__xludf.DUMMYFUNCTION("SPLIT(MID(C2882,2,LEN(C2882)-2), "","")"),727.0)</f>
        <v>727</v>
      </c>
      <c r="E2882" s="7"/>
      <c r="F2882" s="7"/>
      <c r="G2882" s="2" t="str">
        <f t="array" ref="G2882">IF(ISBLANK(D2882), "", INDEX(Categories!$B:$B,MATCH(D2882,Categories!$A:$A,0)))</f>
        <v>Airlines &amp; Airports</v>
      </c>
      <c r="H2882" s="7" t="str">
        <f t="array" ref="H2882">IF(ISBLANK(E2882), "", INDEX(Categories!$B:$B,MATCH(E2882,Categories!$A:$A,0)))</f>
        <v/>
      </c>
      <c r="I2882" s="7" t="str">
        <f t="array" ref="I2882">IF(ISBLANK(F2882), "", INDEX(Categories!$B:$B,MATCH(F2882,Categories!$A:$A,0)))</f>
        <v/>
      </c>
      <c r="J2882" s="4"/>
      <c r="K2882" s="4"/>
      <c r="L2882" s="4"/>
      <c r="M2882" s="4"/>
      <c r="N2882" s="4"/>
      <c r="O2882" s="4"/>
      <c r="P2882" s="4"/>
      <c r="Q2882" s="4"/>
    </row>
    <row r="2883">
      <c r="A2883" s="5">
        <v>2882.0</v>
      </c>
      <c r="B2883" s="5" t="s">
        <v>3436</v>
      </c>
      <c r="C2883" s="5" t="s">
        <v>543</v>
      </c>
      <c r="D2883" s="6">
        <f>IFERROR(__xludf.DUMMYFUNCTION("SPLIT(MID(C2883,2,LEN(C2883)-2), "","")"),727.0)</f>
        <v>727</v>
      </c>
      <c r="E2883" s="7"/>
      <c r="F2883" s="7"/>
      <c r="G2883" s="2" t="str">
        <f t="array" ref="G2883">IF(ISBLANK(D2883), "", INDEX(Categories!$B:$B,MATCH(D2883,Categories!$A:$A,0)))</f>
        <v>Airlines &amp; Airports</v>
      </c>
      <c r="H2883" s="7" t="str">
        <f t="array" ref="H2883">IF(ISBLANK(E2883), "", INDEX(Categories!$B:$B,MATCH(E2883,Categories!$A:$A,0)))</f>
        <v/>
      </c>
      <c r="I2883" s="7" t="str">
        <f t="array" ref="I2883">IF(ISBLANK(F2883), "", INDEX(Categories!$B:$B,MATCH(F2883,Categories!$A:$A,0)))</f>
        <v/>
      </c>
      <c r="J2883" s="4"/>
      <c r="K2883" s="4"/>
      <c r="L2883" s="4"/>
      <c r="M2883" s="4"/>
      <c r="N2883" s="4"/>
      <c r="O2883" s="4"/>
      <c r="P2883" s="4"/>
      <c r="Q2883" s="4"/>
    </row>
    <row r="2884">
      <c r="A2884" s="5">
        <v>2883.0</v>
      </c>
      <c r="B2884" s="5" t="s">
        <v>3437</v>
      </c>
      <c r="C2884" s="5" t="s">
        <v>543</v>
      </c>
      <c r="D2884" s="6">
        <f>IFERROR(__xludf.DUMMYFUNCTION("SPLIT(MID(C2884,2,LEN(C2884)-2), "","")"),727.0)</f>
        <v>727</v>
      </c>
      <c r="E2884" s="7"/>
      <c r="F2884" s="7"/>
      <c r="G2884" s="2" t="str">
        <f t="array" ref="G2884">IF(ISBLANK(D2884), "", INDEX(Categories!$B:$B,MATCH(D2884,Categories!$A:$A,0)))</f>
        <v>Airlines &amp; Airports</v>
      </c>
      <c r="H2884" s="7" t="str">
        <f t="array" ref="H2884">IF(ISBLANK(E2884), "", INDEX(Categories!$B:$B,MATCH(E2884,Categories!$A:$A,0)))</f>
        <v/>
      </c>
      <c r="I2884" s="7" t="str">
        <f t="array" ref="I2884">IF(ISBLANK(F2884), "", INDEX(Categories!$B:$B,MATCH(F2884,Categories!$A:$A,0)))</f>
        <v/>
      </c>
      <c r="J2884" s="4"/>
      <c r="K2884" s="4"/>
      <c r="L2884" s="4"/>
      <c r="M2884" s="4"/>
      <c r="N2884" s="4"/>
      <c r="O2884" s="4"/>
      <c r="P2884" s="4"/>
      <c r="Q2884" s="4"/>
    </row>
    <row r="2885">
      <c r="A2885" s="5">
        <v>2884.0</v>
      </c>
      <c r="B2885" s="5" t="s">
        <v>3438</v>
      </c>
      <c r="C2885" s="5" t="s">
        <v>543</v>
      </c>
      <c r="D2885" s="6">
        <f>IFERROR(__xludf.DUMMYFUNCTION("SPLIT(MID(C2885,2,LEN(C2885)-2), "","")"),727.0)</f>
        <v>727</v>
      </c>
      <c r="E2885" s="7"/>
      <c r="F2885" s="7"/>
      <c r="G2885" s="2" t="str">
        <f t="array" ref="G2885">IF(ISBLANK(D2885), "", INDEX(Categories!$B:$B,MATCH(D2885,Categories!$A:$A,0)))</f>
        <v>Airlines &amp; Airports</v>
      </c>
      <c r="H2885" s="7" t="str">
        <f t="array" ref="H2885">IF(ISBLANK(E2885), "", INDEX(Categories!$B:$B,MATCH(E2885,Categories!$A:$A,0)))</f>
        <v/>
      </c>
      <c r="I2885" s="7" t="str">
        <f t="array" ref="I2885">IF(ISBLANK(F2885), "", INDEX(Categories!$B:$B,MATCH(F2885,Categories!$A:$A,0)))</f>
        <v/>
      </c>
      <c r="J2885" s="4"/>
      <c r="K2885" s="4"/>
      <c r="L2885" s="4"/>
      <c r="M2885" s="4"/>
      <c r="N2885" s="4"/>
      <c r="O2885" s="4"/>
      <c r="P2885" s="4"/>
      <c r="Q2885" s="4"/>
    </row>
    <row r="2886">
      <c r="A2886" s="5">
        <v>2885.0</v>
      </c>
      <c r="B2886" s="5" t="s">
        <v>3439</v>
      </c>
      <c r="C2886" s="5" t="s">
        <v>543</v>
      </c>
      <c r="D2886" s="6">
        <f>IFERROR(__xludf.DUMMYFUNCTION("SPLIT(MID(C2886,2,LEN(C2886)-2), "","")"),727.0)</f>
        <v>727</v>
      </c>
      <c r="E2886" s="7"/>
      <c r="F2886" s="7"/>
      <c r="G2886" s="2" t="str">
        <f t="array" ref="G2886">IF(ISBLANK(D2886), "", INDEX(Categories!$B:$B,MATCH(D2886,Categories!$A:$A,0)))</f>
        <v>Airlines &amp; Airports</v>
      </c>
      <c r="H2886" s="7" t="str">
        <f t="array" ref="H2886">IF(ISBLANK(E2886), "", INDEX(Categories!$B:$B,MATCH(E2886,Categories!$A:$A,0)))</f>
        <v/>
      </c>
      <c r="I2886" s="7" t="str">
        <f t="array" ref="I2886">IF(ISBLANK(F2886), "", INDEX(Categories!$B:$B,MATCH(F2886,Categories!$A:$A,0)))</f>
        <v/>
      </c>
      <c r="J2886" s="4"/>
      <c r="K2886" s="4"/>
      <c r="L2886" s="4"/>
      <c r="M2886" s="4"/>
      <c r="N2886" s="4"/>
      <c r="O2886" s="4"/>
      <c r="P2886" s="4"/>
      <c r="Q2886" s="4"/>
    </row>
    <row r="2887">
      <c r="A2887" s="5">
        <v>2886.0</v>
      </c>
      <c r="B2887" s="5" t="s">
        <v>3440</v>
      </c>
      <c r="C2887" s="5" t="s">
        <v>543</v>
      </c>
      <c r="D2887" s="6">
        <f>IFERROR(__xludf.DUMMYFUNCTION("SPLIT(MID(C2887,2,LEN(C2887)-2), "","")"),727.0)</f>
        <v>727</v>
      </c>
      <c r="E2887" s="7"/>
      <c r="F2887" s="7"/>
      <c r="G2887" s="2" t="str">
        <f t="array" ref="G2887">IF(ISBLANK(D2887), "", INDEX(Categories!$B:$B,MATCH(D2887,Categories!$A:$A,0)))</f>
        <v>Airlines &amp; Airports</v>
      </c>
      <c r="H2887" s="7" t="str">
        <f t="array" ref="H2887">IF(ISBLANK(E2887), "", INDEX(Categories!$B:$B,MATCH(E2887,Categories!$A:$A,0)))</f>
        <v/>
      </c>
      <c r="I2887" s="7" t="str">
        <f t="array" ref="I2887">IF(ISBLANK(F2887), "", INDEX(Categories!$B:$B,MATCH(F2887,Categories!$A:$A,0)))</f>
        <v/>
      </c>
      <c r="J2887" s="4"/>
      <c r="K2887" s="4"/>
      <c r="L2887" s="4"/>
      <c r="M2887" s="4"/>
      <c r="N2887" s="4"/>
      <c r="O2887" s="4"/>
      <c r="P2887" s="4"/>
      <c r="Q2887" s="4"/>
    </row>
    <row r="2888">
      <c r="A2888" s="5">
        <v>2887.0</v>
      </c>
      <c r="B2888" s="5" t="s">
        <v>3441</v>
      </c>
      <c r="C2888" s="5" t="s">
        <v>543</v>
      </c>
      <c r="D2888" s="6">
        <f>IFERROR(__xludf.DUMMYFUNCTION("SPLIT(MID(C2888,2,LEN(C2888)-2), "","")"),727.0)</f>
        <v>727</v>
      </c>
      <c r="E2888" s="7"/>
      <c r="F2888" s="7"/>
      <c r="G2888" s="2" t="str">
        <f t="array" ref="G2888">IF(ISBLANK(D2888), "", INDEX(Categories!$B:$B,MATCH(D2888,Categories!$A:$A,0)))</f>
        <v>Airlines &amp; Airports</v>
      </c>
      <c r="H2888" s="7" t="str">
        <f t="array" ref="H2888">IF(ISBLANK(E2888), "", INDEX(Categories!$B:$B,MATCH(E2888,Categories!$A:$A,0)))</f>
        <v/>
      </c>
      <c r="I2888" s="7" t="str">
        <f t="array" ref="I2888">IF(ISBLANK(F2888), "", INDEX(Categories!$B:$B,MATCH(F2888,Categories!$A:$A,0)))</f>
        <v/>
      </c>
      <c r="J2888" s="4"/>
      <c r="K2888" s="4"/>
      <c r="L2888" s="4"/>
      <c r="M2888" s="4"/>
      <c r="N2888" s="4"/>
      <c r="O2888" s="4"/>
      <c r="P2888" s="4"/>
      <c r="Q2888" s="4"/>
    </row>
    <row r="2889">
      <c r="A2889" s="5">
        <v>2888.0</v>
      </c>
      <c r="B2889" s="5" t="s">
        <v>3442</v>
      </c>
      <c r="C2889" s="5" t="s">
        <v>543</v>
      </c>
      <c r="D2889" s="6">
        <f>IFERROR(__xludf.DUMMYFUNCTION("SPLIT(MID(C2889,2,LEN(C2889)-2), "","")"),727.0)</f>
        <v>727</v>
      </c>
      <c r="E2889" s="7"/>
      <c r="F2889" s="7"/>
      <c r="G2889" s="2" t="str">
        <f t="array" ref="G2889">IF(ISBLANK(D2889), "", INDEX(Categories!$B:$B,MATCH(D2889,Categories!$A:$A,0)))</f>
        <v>Airlines &amp; Airports</v>
      </c>
      <c r="H2889" s="7" t="str">
        <f t="array" ref="H2889">IF(ISBLANK(E2889), "", INDEX(Categories!$B:$B,MATCH(E2889,Categories!$A:$A,0)))</f>
        <v/>
      </c>
      <c r="I2889" s="7" t="str">
        <f t="array" ref="I2889">IF(ISBLANK(F2889), "", INDEX(Categories!$B:$B,MATCH(F2889,Categories!$A:$A,0)))</f>
        <v/>
      </c>
      <c r="J2889" s="4"/>
      <c r="K2889" s="4"/>
      <c r="L2889" s="4"/>
      <c r="M2889" s="4"/>
      <c r="N2889" s="4"/>
      <c r="O2889" s="4"/>
      <c r="P2889" s="4"/>
      <c r="Q2889" s="4"/>
    </row>
    <row r="2890">
      <c r="A2890" s="5">
        <v>2889.0</v>
      </c>
      <c r="B2890" s="5" t="s">
        <v>3443</v>
      </c>
      <c r="C2890" s="5" t="s">
        <v>543</v>
      </c>
      <c r="D2890" s="6">
        <f>IFERROR(__xludf.DUMMYFUNCTION("SPLIT(MID(C2890,2,LEN(C2890)-2), "","")"),727.0)</f>
        <v>727</v>
      </c>
      <c r="E2890" s="7"/>
      <c r="F2890" s="7"/>
      <c r="G2890" s="2" t="str">
        <f t="array" ref="G2890">IF(ISBLANK(D2890), "", INDEX(Categories!$B:$B,MATCH(D2890,Categories!$A:$A,0)))</f>
        <v>Airlines &amp; Airports</v>
      </c>
      <c r="H2890" s="7" t="str">
        <f t="array" ref="H2890">IF(ISBLANK(E2890), "", INDEX(Categories!$B:$B,MATCH(E2890,Categories!$A:$A,0)))</f>
        <v/>
      </c>
      <c r="I2890" s="7" t="str">
        <f t="array" ref="I2890">IF(ISBLANK(F2890), "", INDEX(Categories!$B:$B,MATCH(F2890,Categories!$A:$A,0)))</f>
        <v/>
      </c>
      <c r="J2890" s="4"/>
      <c r="K2890" s="4"/>
      <c r="L2890" s="4"/>
      <c r="M2890" s="4"/>
      <c r="N2890" s="4"/>
      <c r="O2890" s="4"/>
      <c r="P2890" s="4"/>
      <c r="Q2890" s="4"/>
    </row>
    <row r="2891">
      <c r="A2891" s="5">
        <v>2890.0</v>
      </c>
      <c r="B2891" s="5" t="s">
        <v>3444</v>
      </c>
      <c r="C2891" s="5" t="s">
        <v>543</v>
      </c>
      <c r="D2891" s="6">
        <f>IFERROR(__xludf.DUMMYFUNCTION("SPLIT(MID(C2891,2,LEN(C2891)-2), "","")"),727.0)</f>
        <v>727</v>
      </c>
      <c r="E2891" s="7"/>
      <c r="F2891" s="7"/>
      <c r="G2891" s="2" t="str">
        <f t="array" ref="G2891">IF(ISBLANK(D2891), "", INDEX(Categories!$B:$B,MATCH(D2891,Categories!$A:$A,0)))</f>
        <v>Airlines &amp; Airports</v>
      </c>
      <c r="H2891" s="7" t="str">
        <f t="array" ref="H2891">IF(ISBLANK(E2891), "", INDEX(Categories!$B:$B,MATCH(E2891,Categories!$A:$A,0)))</f>
        <v/>
      </c>
      <c r="I2891" s="7" t="str">
        <f t="array" ref="I2891">IF(ISBLANK(F2891), "", INDEX(Categories!$B:$B,MATCH(F2891,Categories!$A:$A,0)))</f>
        <v/>
      </c>
      <c r="J2891" s="4"/>
      <c r="K2891" s="4"/>
      <c r="L2891" s="4"/>
      <c r="M2891" s="4"/>
      <c r="N2891" s="4"/>
      <c r="O2891" s="4"/>
      <c r="P2891" s="4"/>
      <c r="Q2891" s="4"/>
    </row>
    <row r="2892">
      <c r="A2892" s="5">
        <v>2891.0</v>
      </c>
      <c r="B2892" s="5" t="s">
        <v>3445</v>
      </c>
      <c r="C2892" s="5" t="s">
        <v>543</v>
      </c>
      <c r="D2892" s="6">
        <f>IFERROR(__xludf.DUMMYFUNCTION("SPLIT(MID(C2892,2,LEN(C2892)-2), "","")"),727.0)</f>
        <v>727</v>
      </c>
      <c r="E2892" s="7"/>
      <c r="F2892" s="7"/>
      <c r="G2892" s="2" t="str">
        <f t="array" ref="G2892">IF(ISBLANK(D2892), "", INDEX(Categories!$B:$B,MATCH(D2892,Categories!$A:$A,0)))</f>
        <v>Airlines &amp; Airports</v>
      </c>
      <c r="H2892" s="7" t="str">
        <f t="array" ref="H2892">IF(ISBLANK(E2892), "", INDEX(Categories!$B:$B,MATCH(E2892,Categories!$A:$A,0)))</f>
        <v/>
      </c>
      <c r="I2892" s="7" t="str">
        <f t="array" ref="I2892">IF(ISBLANK(F2892), "", INDEX(Categories!$B:$B,MATCH(F2892,Categories!$A:$A,0)))</f>
        <v/>
      </c>
      <c r="J2892" s="4"/>
      <c r="K2892" s="4"/>
      <c r="L2892" s="4"/>
      <c r="M2892" s="4"/>
      <c r="N2892" s="4"/>
      <c r="O2892" s="4"/>
      <c r="P2892" s="4"/>
      <c r="Q2892" s="4"/>
    </row>
    <row r="2893">
      <c r="A2893" s="5">
        <v>2892.0</v>
      </c>
      <c r="B2893" s="5" t="s">
        <v>3446</v>
      </c>
      <c r="C2893" s="5" t="s">
        <v>543</v>
      </c>
      <c r="D2893" s="6">
        <f>IFERROR(__xludf.DUMMYFUNCTION("SPLIT(MID(C2893,2,LEN(C2893)-2), "","")"),727.0)</f>
        <v>727</v>
      </c>
      <c r="E2893" s="7"/>
      <c r="F2893" s="7"/>
      <c r="G2893" s="2" t="str">
        <f t="array" ref="G2893">IF(ISBLANK(D2893), "", INDEX(Categories!$B:$B,MATCH(D2893,Categories!$A:$A,0)))</f>
        <v>Airlines &amp; Airports</v>
      </c>
      <c r="H2893" s="7" t="str">
        <f t="array" ref="H2893">IF(ISBLANK(E2893), "", INDEX(Categories!$B:$B,MATCH(E2893,Categories!$A:$A,0)))</f>
        <v/>
      </c>
      <c r="I2893" s="7" t="str">
        <f t="array" ref="I2893">IF(ISBLANK(F2893), "", INDEX(Categories!$B:$B,MATCH(F2893,Categories!$A:$A,0)))</f>
        <v/>
      </c>
      <c r="J2893" s="4"/>
      <c r="K2893" s="4"/>
      <c r="L2893" s="4"/>
      <c r="M2893" s="4"/>
      <c r="N2893" s="4"/>
      <c r="O2893" s="4"/>
      <c r="P2893" s="4"/>
      <c r="Q2893" s="4"/>
    </row>
    <row r="2894">
      <c r="A2894" s="5">
        <v>2893.0</v>
      </c>
      <c r="B2894" s="5" t="s">
        <v>3447</v>
      </c>
      <c r="C2894" s="5" t="s">
        <v>543</v>
      </c>
      <c r="D2894" s="6">
        <f>IFERROR(__xludf.DUMMYFUNCTION("SPLIT(MID(C2894,2,LEN(C2894)-2), "","")"),727.0)</f>
        <v>727</v>
      </c>
      <c r="E2894" s="7"/>
      <c r="F2894" s="7"/>
      <c r="G2894" s="2" t="str">
        <f t="array" ref="G2894">IF(ISBLANK(D2894), "", INDEX(Categories!$B:$B,MATCH(D2894,Categories!$A:$A,0)))</f>
        <v>Airlines &amp; Airports</v>
      </c>
      <c r="H2894" s="7" t="str">
        <f t="array" ref="H2894">IF(ISBLANK(E2894), "", INDEX(Categories!$B:$B,MATCH(E2894,Categories!$A:$A,0)))</f>
        <v/>
      </c>
      <c r="I2894" s="7" t="str">
        <f t="array" ref="I2894">IF(ISBLANK(F2894), "", INDEX(Categories!$B:$B,MATCH(F2894,Categories!$A:$A,0)))</f>
        <v/>
      </c>
      <c r="J2894" s="4"/>
      <c r="K2894" s="4"/>
      <c r="L2894" s="4"/>
      <c r="M2894" s="4"/>
      <c r="N2894" s="4"/>
      <c r="O2894" s="4"/>
      <c r="P2894" s="4"/>
      <c r="Q2894" s="4"/>
    </row>
    <row r="2895">
      <c r="A2895" s="5">
        <v>2894.0</v>
      </c>
      <c r="B2895" s="5" t="s">
        <v>3448</v>
      </c>
      <c r="C2895" s="5" t="s">
        <v>543</v>
      </c>
      <c r="D2895" s="6">
        <f>IFERROR(__xludf.DUMMYFUNCTION("SPLIT(MID(C2895,2,LEN(C2895)-2), "","")"),727.0)</f>
        <v>727</v>
      </c>
      <c r="E2895" s="7"/>
      <c r="F2895" s="7"/>
      <c r="G2895" s="2" t="str">
        <f t="array" ref="G2895">IF(ISBLANK(D2895), "", INDEX(Categories!$B:$B,MATCH(D2895,Categories!$A:$A,0)))</f>
        <v>Airlines &amp; Airports</v>
      </c>
      <c r="H2895" s="7" t="str">
        <f t="array" ref="H2895">IF(ISBLANK(E2895), "", INDEX(Categories!$B:$B,MATCH(E2895,Categories!$A:$A,0)))</f>
        <v/>
      </c>
      <c r="I2895" s="7" t="str">
        <f t="array" ref="I2895">IF(ISBLANK(F2895), "", INDEX(Categories!$B:$B,MATCH(F2895,Categories!$A:$A,0)))</f>
        <v/>
      </c>
      <c r="J2895" s="4"/>
      <c r="K2895" s="4"/>
      <c r="L2895" s="4"/>
      <c r="M2895" s="4"/>
      <c r="N2895" s="4"/>
      <c r="O2895" s="4"/>
      <c r="P2895" s="4"/>
      <c r="Q2895" s="4"/>
    </row>
    <row r="2896">
      <c r="A2896" s="5">
        <v>2895.0</v>
      </c>
      <c r="B2896" s="5" t="s">
        <v>3449</v>
      </c>
      <c r="C2896" s="5" t="s">
        <v>543</v>
      </c>
      <c r="D2896" s="6">
        <f>IFERROR(__xludf.DUMMYFUNCTION("SPLIT(MID(C2896,2,LEN(C2896)-2), "","")"),727.0)</f>
        <v>727</v>
      </c>
      <c r="E2896" s="7"/>
      <c r="F2896" s="7"/>
      <c r="G2896" s="2" t="str">
        <f t="array" ref="G2896">IF(ISBLANK(D2896), "", INDEX(Categories!$B:$B,MATCH(D2896,Categories!$A:$A,0)))</f>
        <v>Airlines &amp; Airports</v>
      </c>
      <c r="H2896" s="7" t="str">
        <f t="array" ref="H2896">IF(ISBLANK(E2896), "", INDEX(Categories!$B:$B,MATCH(E2896,Categories!$A:$A,0)))</f>
        <v/>
      </c>
      <c r="I2896" s="7" t="str">
        <f t="array" ref="I2896">IF(ISBLANK(F2896), "", INDEX(Categories!$B:$B,MATCH(F2896,Categories!$A:$A,0)))</f>
        <v/>
      </c>
      <c r="J2896" s="4"/>
      <c r="K2896" s="4"/>
      <c r="L2896" s="4"/>
      <c r="M2896" s="4"/>
      <c r="N2896" s="4"/>
      <c r="O2896" s="4"/>
      <c r="P2896" s="4"/>
      <c r="Q2896" s="4"/>
    </row>
    <row r="2897">
      <c r="A2897" s="5">
        <v>2896.0</v>
      </c>
      <c r="B2897" s="5" t="s">
        <v>3450</v>
      </c>
      <c r="C2897" s="5" t="s">
        <v>543</v>
      </c>
      <c r="D2897" s="6">
        <f>IFERROR(__xludf.DUMMYFUNCTION("SPLIT(MID(C2897,2,LEN(C2897)-2), "","")"),727.0)</f>
        <v>727</v>
      </c>
      <c r="E2897" s="7"/>
      <c r="F2897" s="7"/>
      <c r="G2897" s="2" t="str">
        <f t="array" ref="G2897">IF(ISBLANK(D2897), "", INDEX(Categories!$B:$B,MATCH(D2897,Categories!$A:$A,0)))</f>
        <v>Airlines &amp; Airports</v>
      </c>
      <c r="H2897" s="7" t="str">
        <f t="array" ref="H2897">IF(ISBLANK(E2897), "", INDEX(Categories!$B:$B,MATCH(E2897,Categories!$A:$A,0)))</f>
        <v/>
      </c>
      <c r="I2897" s="7" t="str">
        <f t="array" ref="I2897">IF(ISBLANK(F2897), "", INDEX(Categories!$B:$B,MATCH(F2897,Categories!$A:$A,0)))</f>
        <v/>
      </c>
      <c r="J2897" s="4"/>
      <c r="K2897" s="4"/>
      <c r="L2897" s="4"/>
      <c r="M2897" s="4"/>
      <c r="N2897" s="4"/>
      <c r="O2897" s="4"/>
      <c r="P2897" s="4"/>
      <c r="Q2897" s="4"/>
    </row>
    <row r="2898">
      <c r="A2898" s="5">
        <v>2897.0</v>
      </c>
      <c r="B2898" s="5" t="s">
        <v>3451</v>
      </c>
      <c r="C2898" s="5" t="s">
        <v>543</v>
      </c>
      <c r="D2898" s="6">
        <f>IFERROR(__xludf.DUMMYFUNCTION("SPLIT(MID(C2898,2,LEN(C2898)-2), "","")"),727.0)</f>
        <v>727</v>
      </c>
      <c r="E2898" s="7"/>
      <c r="F2898" s="7"/>
      <c r="G2898" s="2" t="str">
        <f t="array" ref="G2898">IF(ISBLANK(D2898), "", INDEX(Categories!$B:$B,MATCH(D2898,Categories!$A:$A,0)))</f>
        <v>Airlines &amp; Airports</v>
      </c>
      <c r="H2898" s="7" t="str">
        <f t="array" ref="H2898">IF(ISBLANK(E2898), "", INDEX(Categories!$B:$B,MATCH(E2898,Categories!$A:$A,0)))</f>
        <v/>
      </c>
      <c r="I2898" s="7" t="str">
        <f t="array" ref="I2898">IF(ISBLANK(F2898), "", INDEX(Categories!$B:$B,MATCH(F2898,Categories!$A:$A,0)))</f>
        <v/>
      </c>
      <c r="J2898" s="4"/>
      <c r="K2898" s="4"/>
      <c r="L2898" s="4"/>
      <c r="M2898" s="4"/>
      <c r="N2898" s="4"/>
      <c r="O2898" s="4"/>
      <c r="P2898" s="4"/>
      <c r="Q2898" s="4"/>
    </row>
    <row r="2899">
      <c r="A2899" s="5">
        <v>2898.0</v>
      </c>
      <c r="B2899" s="5" t="s">
        <v>3452</v>
      </c>
      <c r="C2899" s="5" t="s">
        <v>543</v>
      </c>
      <c r="D2899" s="6">
        <f>IFERROR(__xludf.DUMMYFUNCTION("SPLIT(MID(C2899,2,LEN(C2899)-2), "","")"),727.0)</f>
        <v>727</v>
      </c>
      <c r="E2899" s="7"/>
      <c r="F2899" s="7"/>
      <c r="G2899" s="2" t="str">
        <f t="array" ref="G2899">IF(ISBLANK(D2899), "", INDEX(Categories!$B:$B,MATCH(D2899,Categories!$A:$A,0)))</f>
        <v>Airlines &amp; Airports</v>
      </c>
      <c r="H2899" s="7" t="str">
        <f t="array" ref="H2899">IF(ISBLANK(E2899), "", INDEX(Categories!$B:$B,MATCH(E2899,Categories!$A:$A,0)))</f>
        <v/>
      </c>
      <c r="I2899" s="7" t="str">
        <f t="array" ref="I2899">IF(ISBLANK(F2899), "", INDEX(Categories!$B:$B,MATCH(F2899,Categories!$A:$A,0)))</f>
        <v/>
      </c>
      <c r="J2899" s="4"/>
      <c r="K2899" s="4"/>
      <c r="L2899" s="4"/>
      <c r="M2899" s="4"/>
      <c r="N2899" s="4"/>
      <c r="O2899" s="4"/>
      <c r="P2899" s="4"/>
      <c r="Q2899" s="4"/>
    </row>
    <row r="2900">
      <c r="A2900" s="5">
        <v>2899.0</v>
      </c>
      <c r="B2900" s="5" t="s">
        <v>3453</v>
      </c>
      <c r="C2900" s="5" t="s">
        <v>543</v>
      </c>
      <c r="D2900" s="6">
        <f>IFERROR(__xludf.DUMMYFUNCTION("SPLIT(MID(C2900,2,LEN(C2900)-2), "","")"),727.0)</f>
        <v>727</v>
      </c>
      <c r="E2900" s="7"/>
      <c r="F2900" s="7"/>
      <c r="G2900" s="2" t="str">
        <f t="array" ref="G2900">IF(ISBLANK(D2900), "", INDEX(Categories!$B:$B,MATCH(D2900,Categories!$A:$A,0)))</f>
        <v>Airlines &amp; Airports</v>
      </c>
      <c r="H2900" s="7" t="str">
        <f t="array" ref="H2900">IF(ISBLANK(E2900), "", INDEX(Categories!$B:$B,MATCH(E2900,Categories!$A:$A,0)))</f>
        <v/>
      </c>
      <c r="I2900" s="7" t="str">
        <f t="array" ref="I2900">IF(ISBLANK(F2900), "", INDEX(Categories!$B:$B,MATCH(F2900,Categories!$A:$A,0)))</f>
        <v/>
      </c>
      <c r="J2900" s="4"/>
      <c r="K2900" s="4"/>
      <c r="L2900" s="4"/>
      <c r="M2900" s="4"/>
      <c r="N2900" s="4"/>
      <c r="O2900" s="4"/>
      <c r="P2900" s="4"/>
      <c r="Q2900" s="4"/>
    </row>
    <row r="2901">
      <c r="A2901" s="5">
        <v>2900.0</v>
      </c>
      <c r="B2901" s="5" t="s">
        <v>3454</v>
      </c>
      <c r="C2901" s="5" t="s">
        <v>543</v>
      </c>
      <c r="D2901" s="6">
        <f>IFERROR(__xludf.DUMMYFUNCTION("SPLIT(MID(C2901,2,LEN(C2901)-2), "","")"),727.0)</f>
        <v>727</v>
      </c>
      <c r="E2901" s="7"/>
      <c r="F2901" s="7"/>
      <c r="G2901" s="2" t="str">
        <f t="array" ref="G2901">IF(ISBLANK(D2901), "", INDEX(Categories!$B:$B,MATCH(D2901,Categories!$A:$A,0)))</f>
        <v>Airlines &amp; Airports</v>
      </c>
      <c r="H2901" s="7" t="str">
        <f t="array" ref="H2901">IF(ISBLANK(E2901), "", INDEX(Categories!$B:$B,MATCH(E2901,Categories!$A:$A,0)))</f>
        <v/>
      </c>
      <c r="I2901" s="7" t="str">
        <f t="array" ref="I2901">IF(ISBLANK(F2901), "", INDEX(Categories!$B:$B,MATCH(F2901,Categories!$A:$A,0)))</f>
        <v/>
      </c>
      <c r="J2901" s="4"/>
      <c r="K2901" s="4"/>
      <c r="L2901" s="4"/>
      <c r="M2901" s="4"/>
      <c r="N2901" s="4"/>
      <c r="O2901" s="4"/>
      <c r="P2901" s="4"/>
      <c r="Q2901" s="4"/>
    </row>
    <row r="2902">
      <c r="A2902" s="5">
        <v>2901.0</v>
      </c>
      <c r="B2902" s="5" t="s">
        <v>3455</v>
      </c>
      <c r="C2902" s="5" t="s">
        <v>543</v>
      </c>
      <c r="D2902" s="6">
        <f>IFERROR(__xludf.DUMMYFUNCTION("SPLIT(MID(C2902,2,LEN(C2902)-2), "","")"),727.0)</f>
        <v>727</v>
      </c>
      <c r="E2902" s="7"/>
      <c r="F2902" s="7"/>
      <c r="G2902" s="2" t="str">
        <f t="array" ref="G2902">IF(ISBLANK(D2902), "", INDEX(Categories!$B:$B,MATCH(D2902,Categories!$A:$A,0)))</f>
        <v>Airlines &amp; Airports</v>
      </c>
      <c r="H2902" s="7" t="str">
        <f t="array" ref="H2902">IF(ISBLANK(E2902), "", INDEX(Categories!$B:$B,MATCH(E2902,Categories!$A:$A,0)))</f>
        <v/>
      </c>
      <c r="I2902" s="7" t="str">
        <f t="array" ref="I2902">IF(ISBLANK(F2902), "", INDEX(Categories!$B:$B,MATCH(F2902,Categories!$A:$A,0)))</f>
        <v/>
      </c>
      <c r="J2902" s="4"/>
      <c r="K2902" s="4"/>
      <c r="L2902" s="4"/>
      <c r="M2902" s="4"/>
      <c r="N2902" s="4"/>
      <c r="O2902" s="4"/>
      <c r="P2902" s="4"/>
      <c r="Q2902" s="4"/>
    </row>
    <row r="2903">
      <c r="A2903" s="5">
        <v>2902.0</v>
      </c>
      <c r="B2903" s="5" t="s">
        <v>3456</v>
      </c>
      <c r="C2903" s="5" t="s">
        <v>543</v>
      </c>
      <c r="D2903" s="6">
        <f>IFERROR(__xludf.DUMMYFUNCTION("SPLIT(MID(C2903,2,LEN(C2903)-2), "","")"),727.0)</f>
        <v>727</v>
      </c>
      <c r="E2903" s="7"/>
      <c r="F2903" s="7"/>
      <c r="G2903" s="2" t="str">
        <f t="array" ref="G2903">IF(ISBLANK(D2903), "", INDEX(Categories!$B:$B,MATCH(D2903,Categories!$A:$A,0)))</f>
        <v>Airlines &amp; Airports</v>
      </c>
      <c r="H2903" s="7" t="str">
        <f t="array" ref="H2903">IF(ISBLANK(E2903), "", INDEX(Categories!$B:$B,MATCH(E2903,Categories!$A:$A,0)))</f>
        <v/>
      </c>
      <c r="I2903" s="7" t="str">
        <f t="array" ref="I2903">IF(ISBLANK(F2903), "", INDEX(Categories!$B:$B,MATCH(F2903,Categories!$A:$A,0)))</f>
        <v/>
      </c>
      <c r="J2903" s="4"/>
      <c r="K2903" s="4"/>
      <c r="L2903" s="4"/>
      <c r="M2903" s="4"/>
      <c r="N2903" s="4"/>
      <c r="O2903" s="4"/>
      <c r="P2903" s="4"/>
      <c r="Q2903" s="4"/>
    </row>
    <row r="2904">
      <c r="A2904" s="5">
        <v>2903.0</v>
      </c>
      <c r="B2904" s="5" t="s">
        <v>3457</v>
      </c>
      <c r="C2904" s="5" t="s">
        <v>543</v>
      </c>
      <c r="D2904" s="6">
        <f>IFERROR(__xludf.DUMMYFUNCTION("SPLIT(MID(C2904,2,LEN(C2904)-2), "","")"),727.0)</f>
        <v>727</v>
      </c>
      <c r="E2904" s="7"/>
      <c r="F2904" s="7"/>
      <c r="G2904" s="2" t="str">
        <f t="array" ref="G2904">IF(ISBLANK(D2904), "", INDEX(Categories!$B:$B,MATCH(D2904,Categories!$A:$A,0)))</f>
        <v>Airlines &amp; Airports</v>
      </c>
      <c r="H2904" s="7" t="str">
        <f t="array" ref="H2904">IF(ISBLANK(E2904), "", INDEX(Categories!$B:$B,MATCH(E2904,Categories!$A:$A,0)))</f>
        <v/>
      </c>
      <c r="I2904" s="7" t="str">
        <f t="array" ref="I2904">IF(ISBLANK(F2904), "", INDEX(Categories!$B:$B,MATCH(F2904,Categories!$A:$A,0)))</f>
        <v/>
      </c>
      <c r="J2904" s="4"/>
      <c r="K2904" s="4"/>
      <c r="L2904" s="4"/>
      <c r="M2904" s="4"/>
      <c r="N2904" s="4"/>
      <c r="O2904" s="4"/>
      <c r="P2904" s="4"/>
      <c r="Q2904" s="4"/>
    </row>
    <row r="2905">
      <c r="A2905" s="5">
        <v>2904.0</v>
      </c>
      <c r="B2905" s="5" t="s">
        <v>3458</v>
      </c>
      <c r="C2905" s="5" t="s">
        <v>543</v>
      </c>
      <c r="D2905" s="6">
        <f>IFERROR(__xludf.DUMMYFUNCTION("SPLIT(MID(C2905,2,LEN(C2905)-2), "","")"),727.0)</f>
        <v>727</v>
      </c>
      <c r="E2905" s="7"/>
      <c r="F2905" s="7"/>
      <c r="G2905" s="2" t="str">
        <f t="array" ref="G2905">IF(ISBLANK(D2905), "", INDEX(Categories!$B:$B,MATCH(D2905,Categories!$A:$A,0)))</f>
        <v>Airlines &amp; Airports</v>
      </c>
      <c r="H2905" s="7" t="str">
        <f t="array" ref="H2905">IF(ISBLANK(E2905), "", INDEX(Categories!$B:$B,MATCH(E2905,Categories!$A:$A,0)))</f>
        <v/>
      </c>
      <c r="I2905" s="7" t="str">
        <f t="array" ref="I2905">IF(ISBLANK(F2905), "", INDEX(Categories!$B:$B,MATCH(F2905,Categories!$A:$A,0)))</f>
        <v/>
      </c>
      <c r="J2905" s="4"/>
      <c r="K2905" s="4"/>
      <c r="L2905" s="4"/>
      <c r="M2905" s="4"/>
      <c r="N2905" s="4"/>
      <c r="O2905" s="4"/>
      <c r="P2905" s="4"/>
      <c r="Q2905" s="4"/>
    </row>
    <row r="2906">
      <c r="A2906" s="5">
        <v>2905.0</v>
      </c>
      <c r="B2906" s="5" t="s">
        <v>3459</v>
      </c>
      <c r="C2906" s="5" t="s">
        <v>543</v>
      </c>
      <c r="D2906" s="6">
        <f>IFERROR(__xludf.DUMMYFUNCTION("SPLIT(MID(C2906,2,LEN(C2906)-2), "","")"),727.0)</f>
        <v>727</v>
      </c>
      <c r="E2906" s="7"/>
      <c r="F2906" s="7"/>
      <c r="G2906" s="2" t="str">
        <f t="array" ref="G2906">IF(ISBLANK(D2906), "", INDEX(Categories!$B:$B,MATCH(D2906,Categories!$A:$A,0)))</f>
        <v>Airlines &amp; Airports</v>
      </c>
      <c r="H2906" s="7" t="str">
        <f t="array" ref="H2906">IF(ISBLANK(E2906), "", INDEX(Categories!$B:$B,MATCH(E2906,Categories!$A:$A,0)))</f>
        <v/>
      </c>
      <c r="I2906" s="7" t="str">
        <f t="array" ref="I2906">IF(ISBLANK(F2906), "", INDEX(Categories!$B:$B,MATCH(F2906,Categories!$A:$A,0)))</f>
        <v/>
      </c>
      <c r="J2906" s="4"/>
      <c r="K2906" s="4"/>
      <c r="L2906" s="4"/>
      <c r="M2906" s="4"/>
      <c r="N2906" s="4"/>
      <c r="O2906" s="4"/>
      <c r="P2906" s="4"/>
      <c r="Q2906" s="4"/>
    </row>
    <row r="2907">
      <c r="A2907" s="9">
        <v>2906.0</v>
      </c>
      <c r="B2907" s="9" t="s">
        <v>3460</v>
      </c>
      <c r="C2907" s="9" t="s">
        <v>1895</v>
      </c>
      <c r="D2907" s="6">
        <f>IFERROR(__xludf.DUMMYFUNCTION("SPLIT(MID(C2907,2,LEN(C2907)-2), "","")"),2285.0)</f>
        <v>2285</v>
      </c>
      <c r="E2907" s="7"/>
      <c r="F2907" s="7"/>
      <c r="G2907" s="2" t="str">
        <f t="array" ref="G2907">IF(ISBLANK(D2907), "", INDEX(Categories!$B:$B,MATCH(D2907,Categories!$A:$A,0)))</f>
        <v>Amusement Places</v>
      </c>
      <c r="H2907" s="7" t="str">
        <f t="array" ref="H2907">IF(ISBLANK(E2907), "", INDEX(Categories!$B:$B,MATCH(E2907,Categories!$A:$A,0)))</f>
        <v/>
      </c>
      <c r="I2907" s="7" t="str">
        <f t="array" ref="I2907">IF(ISBLANK(F2907), "", INDEX(Categories!$B:$B,MATCH(F2907,Categories!$A:$A,0)))</f>
        <v/>
      </c>
      <c r="J2907" s="4"/>
      <c r="K2907" s="4"/>
      <c r="L2907" s="4"/>
      <c r="M2907" s="4"/>
      <c r="N2907" s="4"/>
      <c r="O2907" s="4"/>
      <c r="P2907" s="4"/>
      <c r="Q2907" s="4"/>
    </row>
    <row r="2908">
      <c r="A2908" s="5">
        <v>2907.0</v>
      </c>
      <c r="B2908" s="9" t="s">
        <v>3461</v>
      </c>
      <c r="C2908" s="9" t="s">
        <v>1895</v>
      </c>
      <c r="D2908" s="6">
        <f>IFERROR(__xludf.DUMMYFUNCTION("SPLIT(MID(C2908,2,LEN(C2908)-2), "","")"),2285.0)</f>
        <v>2285</v>
      </c>
      <c r="E2908" s="7"/>
      <c r="F2908" s="7"/>
      <c r="G2908" s="2" t="str">
        <f t="array" ref="G2908">IF(ISBLANK(D2908), "", INDEX(Categories!$B:$B,MATCH(D2908,Categories!$A:$A,0)))</f>
        <v>Amusement Places</v>
      </c>
      <c r="H2908" s="7" t="str">
        <f t="array" ref="H2908">IF(ISBLANK(E2908), "", INDEX(Categories!$B:$B,MATCH(E2908,Categories!$A:$A,0)))</f>
        <v/>
      </c>
      <c r="I2908" s="7" t="str">
        <f t="array" ref="I2908">IF(ISBLANK(F2908), "", INDEX(Categories!$B:$B,MATCH(F2908,Categories!$A:$A,0)))</f>
        <v/>
      </c>
      <c r="J2908" s="4"/>
      <c r="K2908" s="4"/>
      <c r="L2908" s="4"/>
      <c r="M2908" s="4"/>
      <c r="N2908" s="4"/>
      <c r="O2908" s="4"/>
      <c r="P2908" s="4"/>
      <c r="Q2908" s="4"/>
    </row>
    <row r="2909">
      <c r="A2909" s="5">
        <v>2908.0</v>
      </c>
      <c r="B2909" s="9" t="s">
        <v>3462</v>
      </c>
      <c r="C2909" s="9" t="s">
        <v>1895</v>
      </c>
      <c r="D2909" s="6">
        <f>IFERROR(__xludf.DUMMYFUNCTION("SPLIT(MID(C2909,2,LEN(C2909)-2), "","")"),2285.0)</f>
        <v>2285</v>
      </c>
      <c r="E2909" s="7"/>
      <c r="F2909" s="7"/>
      <c r="G2909" s="2" t="str">
        <f t="array" ref="G2909">IF(ISBLANK(D2909), "", INDEX(Categories!$B:$B,MATCH(D2909,Categories!$A:$A,0)))</f>
        <v>Amusement Places</v>
      </c>
      <c r="H2909" s="7" t="str">
        <f t="array" ref="H2909">IF(ISBLANK(E2909), "", INDEX(Categories!$B:$B,MATCH(E2909,Categories!$A:$A,0)))</f>
        <v/>
      </c>
      <c r="I2909" s="7" t="str">
        <f t="array" ref="I2909">IF(ISBLANK(F2909), "", INDEX(Categories!$B:$B,MATCH(F2909,Categories!$A:$A,0)))</f>
        <v/>
      </c>
      <c r="J2909" s="4"/>
      <c r="K2909" s="4"/>
      <c r="L2909" s="4"/>
      <c r="M2909" s="4"/>
      <c r="N2909" s="4"/>
      <c r="O2909" s="4"/>
      <c r="P2909" s="4"/>
      <c r="Q2909" s="4"/>
    </row>
    <row r="2910">
      <c r="A2910" s="9">
        <v>2909.0</v>
      </c>
      <c r="B2910" s="9" t="s">
        <v>2698</v>
      </c>
      <c r="C2910" s="9" t="s">
        <v>1895</v>
      </c>
      <c r="D2910" s="6">
        <f>IFERROR(__xludf.DUMMYFUNCTION("SPLIT(MID(C2910,2,LEN(C2910)-2), "","")"),2285.0)</f>
        <v>2285</v>
      </c>
      <c r="E2910" s="7"/>
      <c r="F2910" s="7"/>
      <c r="G2910" s="2" t="str">
        <f t="array" ref="G2910">IF(ISBLANK(D2910), "", INDEX(Categories!$B:$B,MATCH(D2910,Categories!$A:$A,0)))</f>
        <v>Amusement Places</v>
      </c>
      <c r="H2910" s="7" t="str">
        <f t="array" ref="H2910">IF(ISBLANK(E2910), "", INDEX(Categories!$B:$B,MATCH(E2910,Categories!$A:$A,0)))</f>
        <v/>
      </c>
      <c r="I2910" s="7" t="str">
        <f t="array" ref="I2910">IF(ISBLANK(F2910), "", INDEX(Categories!$B:$B,MATCH(F2910,Categories!$A:$A,0)))</f>
        <v/>
      </c>
      <c r="J2910" s="4"/>
      <c r="K2910" s="4"/>
      <c r="L2910" s="4"/>
      <c r="M2910" s="4"/>
      <c r="N2910" s="4"/>
      <c r="O2910" s="4"/>
      <c r="P2910" s="4"/>
      <c r="Q2910" s="4"/>
    </row>
    <row r="2911">
      <c r="A2911" s="9">
        <v>2910.0</v>
      </c>
      <c r="B2911" s="9" t="s">
        <v>3463</v>
      </c>
      <c r="C2911" s="9" t="s">
        <v>1895</v>
      </c>
      <c r="D2911" s="6">
        <f>IFERROR(__xludf.DUMMYFUNCTION("SPLIT(MID(C2911,2,LEN(C2911)-2), "","")"),2285.0)</f>
        <v>2285</v>
      </c>
      <c r="E2911" s="7"/>
      <c r="F2911" s="7"/>
      <c r="G2911" s="2" t="str">
        <f t="array" ref="G2911">IF(ISBLANK(D2911), "", INDEX(Categories!$B:$B,MATCH(D2911,Categories!$A:$A,0)))</f>
        <v>Amusement Places</v>
      </c>
      <c r="H2911" s="7" t="str">
        <f t="array" ref="H2911">IF(ISBLANK(E2911), "", INDEX(Categories!$B:$B,MATCH(E2911,Categories!$A:$A,0)))</f>
        <v/>
      </c>
      <c r="I2911" s="7" t="str">
        <f t="array" ref="I2911">IF(ISBLANK(F2911), "", INDEX(Categories!$B:$B,MATCH(F2911,Categories!$A:$A,0)))</f>
        <v/>
      </c>
      <c r="J2911" s="4"/>
      <c r="K2911" s="4"/>
      <c r="L2911" s="4"/>
      <c r="M2911" s="4"/>
      <c r="N2911" s="4"/>
      <c r="O2911" s="4"/>
      <c r="P2911" s="4"/>
      <c r="Q2911" s="4"/>
    </row>
    <row r="2912">
      <c r="A2912" s="9">
        <v>2911.0</v>
      </c>
      <c r="B2912" s="9" t="s">
        <v>3464</v>
      </c>
      <c r="C2912" s="9" t="s">
        <v>1895</v>
      </c>
      <c r="D2912" s="6">
        <f>IFERROR(__xludf.DUMMYFUNCTION("SPLIT(MID(C2912,2,LEN(C2912)-2), "","")"),2285.0)</f>
        <v>2285</v>
      </c>
      <c r="E2912" s="7"/>
      <c r="F2912" s="7"/>
      <c r="G2912" s="2" t="str">
        <f t="array" ref="G2912">IF(ISBLANK(D2912), "", INDEX(Categories!$B:$B,MATCH(D2912,Categories!$A:$A,0)))</f>
        <v>Amusement Places</v>
      </c>
      <c r="H2912" s="7" t="str">
        <f t="array" ref="H2912">IF(ISBLANK(E2912), "", INDEX(Categories!$B:$B,MATCH(E2912,Categories!$A:$A,0)))</f>
        <v/>
      </c>
      <c r="I2912" s="7" t="str">
        <f t="array" ref="I2912">IF(ISBLANK(F2912), "", INDEX(Categories!$B:$B,MATCH(F2912,Categories!$A:$A,0)))</f>
        <v/>
      </c>
      <c r="J2912" s="4"/>
      <c r="K2912" s="4"/>
      <c r="L2912" s="4"/>
      <c r="M2912" s="4"/>
      <c r="N2912" s="4"/>
      <c r="O2912" s="4"/>
      <c r="P2912" s="4"/>
      <c r="Q2912" s="4"/>
    </row>
    <row r="2913">
      <c r="A2913" s="9">
        <v>2912.0</v>
      </c>
      <c r="B2913" s="9" t="s">
        <v>3465</v>
      </c>
      <c r="C2913" s="9" t="s">
        <v>1895</v>
      </c>
      <c r="D2913" s="6">
        <f>IFERROR(__xludf.DUMMYFUNCTION("SPLIT(MID(C2913,2,LEN(C2913)-2), "","")"),2285.0)</f>
        <v>2285</v>
      </c>
      <c r="E2913" s="7"/>
      <c r="F2913" s="7"/>
      <c r="G2913" s="2" t="str">
        <f t="array" ref="G2913">IF(ISBLANK(D2913), "", INDEX(Categories!$B:$B,MATCH(D2913,Categories!$A:$A,0)))</f>
        <v>Amusement Places</v>
      </c>
      <c r="H2913" s="7" t="str">
        <f t="array" ref="H2913">IF(ISBLANK(E2913), "", INDEX(Categories!$B:$B,MATCH(E2913,Categories!$A:$A,0)))</f>
        <v/>
      </c>
      <c r="I2913" s="7" t="str">
        <f t="array" ref="I2913">IF(ISBLANK(F2913), "", INDEX(Categories!$B:$B,MATCH(F2913,Categories!$A:$A,0)))</f>
        <v/>
      </c>
      <c r="J2913" s="4"/>
      <c r="K2913" s="4"/>
      <c r="L2913" s="4"/>
      <c r="M2913" s="4"/>
      <c r="N2913" s="4"/>
      <c r="O2913" s="4"/>
      <c r="P2913" s="4"/>
      <c r="Q2913" s="4"/>
    </row>
    <row r="2914">
      <c r="A2914" s="9">
        <v>2913.0</v>
      </c>
      <c r="B2914" s="9" t="s">
        <v>3466</v>
      </c>
      <c r="C2914" s="9" t="s">
        <v>1895</v>
      </c>
      <c r="D2914" s="6">
        <f>IFERROR(__xludf.DUMMYFUNCTION("SPLIT(MID(C2914,2,LEN(C2914)-2), "","")"),2285.0)</f>
        <v>2285</v>
      </c>
      <c r="E2914" s="7"/>
      <c r="F2914" s="7"/>
      <c r="G2914" s="2" t="str">
        <f t="array" ref="G2914">IF(ISBLANK(D2914), "", INDEX(Categories!$B:$B,MATCH(D2914,Categories!$A:$A,0)))</f>
        <v>Amusement Places</v>
      </c>
      <c r="H2914" s="7" t="str">
        <f t="array" ref="H2914">IF(ISBLANK(E2914), "", INDEX(Categories!$B:$B,MATCH(E2914,Categories!$A:$A,0)))</f>
        <v/>
      </c>
      <c r="I2914" s="7" t="str">
        <f t="array" ref="I2914">IF(ISBLANK(F2914), "", INDEX(Categories!$B:$B,MATCH(F2914,Categories!$A:$A,0)))</f>
        <v/>
      </c>
      <c r="J2914" s="4"/>
      <c r="K2914" s="4"/>
      <c r="L2914" s="4"/>
      <c r="M2914" s="4"/>
      <c r="N2914" s="4"/>
      <c r="O2914" s="4"/>
      <c r="P2914" s="4"/>
      <c r="Q2914" s="4"/>
    </row>
    <row r="2915">
      <c r="A2915" s="9">
        <v>2914.0</v>
      </c>
      <c r="B2915" s="9" t="s">
        <v>3467</v>
      </c>
      <c r="C2915" s="9" t="s">
        <v>3344</v>
      </c>
      <c r="D2915" s="6">
        <f>IFERROR(__xludf.DUMMYFUNCTION("SPLIT(MID(C2915,2,LEN(C2915)-2), "","")"),2391.0)</f>
        <v>2391</v>
      </c>
      <c r="E2915" s="7"/>
      <c r="F2915" s="7"/>
      <c r="G2915" s="2" t="str">
        <f t="array" ref="G2915">IF(ISBLANK(D2915), "", INDEX(Categories!$B:$B,MATCH(D2915,Categories!$A:$A,0)))</f>
        <v>Casinos</v>
      </c>
      <c r="H2915" s="7" t="str">
        <f t="array" ref="H2915">IF(ISBLANK(E2915), "", INDEX(Categories!$B:$B,MATCH(E2915,Categories!$A:$A,0)))</f>
        <v/>
      </c>
      <c r="I2915" s="7" t="str">
        <f t="array" ref="I2915">IF(ISBLANK(F2915), "", INDEX(Categories!$B:$B,MATCH(F2915,Categories!$A:$A,0)))</f>
        <v/>
      </c>
      <c r="J2915" s="4"/>
      <c r="K2915" s="4"/>
      <c r="L2915" s="4"/>
      <c r="M2915" s="4"/>
      <c r="N2915" s="4"/>
      <c r="O2915" s="4"/>
      <c r="P2915" s="4"/>
      <c r="Q2915" s="4"/>
    </row>
    <row r="2916">
      <c r="A2916" s="9"/>
      <c r="B2916" s="9"/>
      <c r="C2916" s="9"/>
      <c r="D2916" s="10"/>
      <c r="E2916" s="4"/>
      <c r="F2916" s="4"/>
      <c r="G2916" s="10"/>
      <c r="H2916" s="4"/>
      <c r="I2916" s="4"/>
      <c r="J2916" s="4"/>
      <c r="K2916" s="4"/>
      <c r="L2916" s="4"/>
      <c r="M2916" s="4"/>
      <c r="N2916" s="4"/>
      <c r="O2916" s="4"/>
      <c r="P2916" s="4"/>
      <c r="Q2916" s="4"/>
    </row>
    <row r="2917">
      <c r="A2917" s="9"/>
      <c r="B2917" s="9"/>
      <c r="C2917" s="9"/>
      <c r="D2917" s="10"/>
      <c r="E2917" s="4"/>
      <c r="F2917" s="4"/>
      <c r="G2917" s="10"/>
      <c r="H2917" s="4"/>
      <c r="I2917" s="4"/>
      <c r="J2917" s="4"/>
      <c r="K2917" s="4"/>
      <c r="L2917" s="4"/>
      <c r="M2917" s="4"/>
      <c r="N2917" s="4"/>
      <c r="O2917" s="4"/>
      <c r="P2917" s="4"/>
      <c r="Q2917" s="4"/>
    </row>
    <row r="2918">
      <c r="A2918" s="9"/>
      <c r="B2918" s="9"/>
      <c r="C2918" s="9"/>
      <c r="D2918" s="10"/>
      <c r="E2918" s="4"/>
      <c r="F2918" s="4"/>
      <c r="G2918" s="10"/>
      <c r="H2918" s="4"/>
      <c r="I2918" s="4"/>
      <c r="J2918" s="4"/>
      <c r="K2918" s="4"/>
      <c r="L2918" s="4"/>
      <c r="M2918" s="4"/>
      <c r="N2918" s="4"/>
      <c r="O2918" s="4"/>
      <c r="P2918" s="4"/>
      <c r="Q2918" s="4"/>
    </row>
    <row r="2919">
      <c r="A2919" s="9"/>
      <c r="B2919" s="9"/>
      <c r="C2919" s="9"/>
      <c r="D2919" s="10"/>
      <c r="E2919" s="4"/>
      <c r="F2919" s="4"/>
      <c r="G2919" s="10"/>
      <c r="H2919" s="4"/>
      <c r="I2919" s="4"/>
      <c r="J2919" s="4"/>
      <c r="K2919" s="4"/>
      <c r="L2919" s="4"/>
      <c r="M2919" s="4"/>
      <c r="N2919" s="4"/>
      <c r="O2919" s="4"/>
      <c r="P2919" s="4"/>
      <c r="Q2919" s="4"/>
    </row>
    <row r="2920">
      <c r="A2920" s="9"/>
      <c r="B2920" s="9"/>
      <c r="C2920" s="9"/>
      <c r="D2920" s="10"/>
      <c r="E2920" s="4"/>
      <c r="F2920" s="4"/>
      <c r="G2920" s="10"/>
      <c r="H2920" s="4"/>
      <c r="I2920" s="4"/>
      <c r="J2920" s="4"/>
      <c r="K2920" s="4"/>
      <c r="L2920" s="4"/>
      <c r="M2920" s="4"/>
      <c r="N2920" s="4"/>
      <c r="O2920" s="4"/>
      <c r="P2920" s="4"/>
      <c r="Q2920" s="4"/>
    </row>
    <row r="2921">
      <c r="A2921" s="9"/>
      <c r="B2921" s="9"/>
      <c r="C2921" s="9"/>
      <c r="D2921" s="10"/>
      <c r="E2921" s="4"/>
      <c r="F2921" s="4"/>
      <c r="G2921" s="10"/>
      <c r="H2921" s="4"/>
      <c r="I2921" s="4"/>
      <c r="J2921" s="4"/>
      <c r="K2921" s="4"/>
      <c r="L2921" s="4"/>
      <c r="M2921" s="4"/>
      <c r="N2921" s="4"/>
      <c r="O2921" s="4"/>
      <c r="P2921" s="4"/>
      <c r="Q2921" s="4"/>
    </row>
    <row r="2922">
      <c r="A2922" s="9"/>
      <c r="B2922" s="9"/>
      <c r="C2922" s="9"/>
      <c r="D2922" s="10"/>
      <c r="E2922" s="4"/>
      <c r="F2922" s="4"/>
      <c r="G2922" s="10"/>
      <c r="H2922" s="4"/>
      <c r="I2922" s="4"/>
      <c r="J2922" s="4"/>
      <c r="K2922" s="4"/>
      <c r="L2922" s="4"/>
      <c r="M2922" s="4"/>
      <c r="N2922" s="4"/>
      <c r="O2922" s="4"/>
      <c r="P2922" s="4"/>
      <c r="Q2922" s="4"/>
    </row>
    <row r="2923">
      <c r="A2923" s="9"/>
      <c r="B2923" s="9"/>
      <c r="C2923" s="9"/>
      <c r="D2923" s="10"/>
      <c r="E2923" s="4"/>
      <c r="F2923" s="4"/>
      <c r="G2923" s="10"/>
      <c r="H2923" s="4"/>
      <c r="I2923" s="4"/>
      <c r="J2923" s="4"/>
      <c r="K2923" s="4"/>
      <c r="L2923" s="4"/>
      <c r="M2923" s="4"/>
      <c r="N2923" s="4"/>
      <c r="O2923" s="4"/>
      <c r="P2923" s="4"/>
      <c r="Q2923" s="4"/>
    </row>
    <row r="2924">
      <c r="A2924" s="9"/>
      <c r="B2924" s="9"/>
      <c r="C2924" s="9"/>
      <c r="D2924" s="10"/>
      <c r="E2924" s="4"/>
      <c r="F2924" s="4"/>
      <c r="G2924" s="10"/>
      <c r="H2924" s="4"/>
      <c r="I2924" s="4"/>
      <c r="J2924" s="4"/>
      <c r="K2924" s="4"/>
      <c r="L2924" s="4"/>
      <c r="M2924" s="4"/>
      <c r="N2924" s="4"/>
      <c r="O2924" s="4"/>
      <c r="P2924" s="4"/>
      <c r="Q2924" s="4"/>
    </row>
    <row r="2925">
      <c r="A2925" s="9"/>
      <c r="B2925" s="9"/>
      <c r="C2925" s="9"/>
      <c r="D2925" s="10"/>
      <c r="E2925" s="4"/>
      <c r="F2925" s="4"/>
      <c r="G2925" s="10"/>
      <c r="H2925" s="4"/>
      <c r="I2925" s="4"/>
      <c r="J2925" s="4"/>
      <c r="K2925" s="4"/>
      <c r="L2925" s="4"/>
      <c r="M2925" s="4"/>
      <c r="N2925" s="4"/>
      <c r="O2925" s="4"/>
      <c r="P2925" s="4"/>
      <c r="Q2925" s="4"/>
    </row>
    <row r="2926">
      <c r="A2926" s="9"/>
      <c r="B2926" s="9"/>
      <c r="C2926" s="9"/>
      <c r="D2926" s="10"/>
      <c r="E2926" s="4"/>
      <c r="F2926" s="4"/>
      <c r="G2926" s="10"/>
      <c r="H2926" s="4"/>
      <c r="I2926" s="4"/>
      <c r="J2926" s="4"/>
      <c r="K2926" s="4"/>
      <c r="L2926" s="4"/>
      <c r="M2926" s="4"/>
      <c r="N2926" s="4"/>
      <c r="O2926" s="4"/>
      <c r="P2926" s="4"/>
      <c r="Q2926" s="4"/>
    </row>
    <row r="2927">
      <c r="A2927" s="9"/>
      <c r="B2927" s="9"/>
      <c r="C2927" s="9"/>
      <c r="D2927" s="10"/>
      <c r="E2927" s="4"/>
      <c r="F2927" s="4"/>
      <c r="G2927" s="10"/>
      <c r="H2927" s="4"/>
      <c r="I2927" s="4"/>
      <c r="J2927" s="4"/>
      <c r="K2927" s="4"/>
      <c r="L2927" s="4"/>
      <c r="M2927" s="4"/>
      <c r="N2927" s="4"/>
      <c r="O2927" s="4"/>
      <c r="P2927" s="4"/>
      <c r="Q2927" s="4"/>
    </row>
    <row r="2928">
      <c r="A2928" s="9"/>
      <c r="B2928" s="9"/>
      <c r="C2928" s="9"/>
      <c r="D2928" s="10"/>
      <c r="E2928" s="4"/>
      <c r="F2928" s="4"/>
      <c r="G2928" s="10"/>
      <c r="H2928" s="4"/>
      <c r="I2928" s="4"/>
      <c r="J2928" s="4"/>
      <c r="K2928" s="4"/>
      <c r="L2928" s="4"/>
      <c r="M2928" s="4"/>
      <c r="N2928" s="4"/>
      <c r="O2928" s="4"/>
      <c r="P2928" s="4"/>
      <c r="Q2928" s="4"/>
    </row>
    <row r="2929">
      <c r="A2929" s="9"/>
      <c r="B2929" s="9"/>
      <c r="C2929" s="9"/>
      <c r="D2929" s="10"/>
      <c r="E2929" s="4"/>
      <c r="F2929" s="4"/>
      <c r="G2929" s="10"/>
      <c r="H2929" s="4"/>
      <c r="I2929" s="4"/>
      <c r="J2929" s="4"/>
      <c r="K2929" s="4"/>
      <c r="L2929" s="4"/>
      <c r="M2929" s="4"/>
      <c r="N2929" s="4"/>
      <c r="O2929" s="4"/>
      <c r="P2929" s="4"/>
      <c r="Q2929" s="4"/>
    </row>
    <row r="2930">
      <c r="A2930" s="9"/>
      <c r="B2930" s="9"/>
      <c r="C2930" s="9"/>
      <c r="D2930" s="10"/>
      <c r="E2930" s="4"/>
      <c r="F2930" s="4"/>
      <c r="G2930" s="10"/>
      <c r="H2930" s="4"/>
      <c r="I2930" s="4"/>
      <c r="J2930" s="4"/>
      <c r="K2930" s="4"/>
      <c r="L2930" s="4"/>
      <c r="M2930" s="4"/>
      <c r="N2930" s="4"/>
      <c r="O2930" s="4"/>
      <c r="P2930" s="4"/>
      <c r="Q2930" s="4"/>
    </row>
    <row r="2931">
      <c r="A2931" s="9"/>
      <c r="B2931" s="9"/>
      <c r="C2931" s="9"/>
      <c r="D2931" s="10"/>
      <c r="E2931" s="4"/>
      <c r="F2931" s="4"/>
      <c r="G2931" s="10"/>
      <c r="H2931" s="4"/>
      <c r="I2931" s="4"/>
      <c r="J2931" s="4"/>
      <c r="K2931" s="4"/>
      <c r="L2931" s="4"/>
      <c r="M2931" s="4"/>
      <c r="N2931" s="4"/>
      <c r="O2931" s="4"/>
      <c r="P2931" s="4"/>
      <c r="Q2931" s="4"/>
    </row>
    <row r="2932">
      <c r="A2932" s="9"/>
      <c r="B2932" s="9"/>
      <c r="C2932" s="9"/>
      <c r="D2932" s="10"/>
      <c r="E2932" s="4"/>
      <c r="F2932" s="4"/>
      <c r="G2932" s="10"/>
      <c r="H2932" s="4"/>
      <c r="I2932" s="4"/>
      <c r="J2932" s="4"/>
      <c r="K2932" s="4"/>
      <c r="L2932" s="4"/>
      <c r="M2932" s="4"/>
      <c r="N2932" s="4"/>
      <c r="O2932" s="4"/>
      <c r="P2932" s="4"/>
      <c r="Q2932" s="4"/>
    </row>
    <row r="2933">
      <c r="A2933" s="9"/>
      <c r="B2933" s="9"/>
      <c r="C2933" s="9"/>
      <c r="D2933" s="10"/>
      <c r="E2933" s="4"/>
      <c r="F2933" s="4"/>
      <c r="G2933" s="10"/>
      <c r="H2933" s="4"/>
      <c r="I2933" s="4"/>
      <c r="J2933" s="4"/>
      <c r="K2933" s="4"/>
      <c r="L2933" s="4"/>
      <c r="M2933" s="4"/>
      <c r="N2933" s="4"/>
      <c r="O2933" s="4"/>
      <c r="P2933" s="4"/>
      <c r="Q2933" s="4"/>
    </row>
    <row r="2934">
      <c r="A2934" s="9"/>
      <c r="B2934" s="9"/>
      <c r="C2934" s="9"/>
      <c r="D2934" s="10"/>
      <c r="E2934" s="4"/>
      <c r="F2934" s="4"/>
      <c r="G2934" s="10"/>
      <c r="H2934" s="4"/>
      <c r="I2934" s="4"/>
      <c r="J2934" s="4"/>
      <c r="K2934" s="4"/>
      <c r="L2934" s="4"/>
      <c r="M2934" s="4"/>
      <c r="N2934" s="4"/>
      <c r="O2934" s="4"/>
      <c r="P2934" s="4"/>
      <c r="Q2934" s="4"/>
    </row>
    <row r="2935">
      <c r="A2935" s="9"/>
      <c r="B2935" s="9"/>
      <c r="C2935" s="9"/>
      <c r="D2935" s="10"/>
      <c r="E2935" s="4"/>
      <c r="F2935" s="4"/>
      <c r="G2935" s="10"/>
      <c r="H2935" s="4"/>
      <c r="I2935" s="4"/>
      <c r="J2935" s="4"/>
      <c r="K2935" s="4"/>
      <c r="L2935" s="4"/>
      <c r="M2935" s="4"/>
      <c r="N2935" s="4"/>
      <c r="O2935" s="4"/>
      <c r="P2935" s="4"/>
      <c r="Q2935" s="4"/>
    </row>
    <row r="2936">
      <c r="A2936" s="9"/>
      <c r="B2936" s="9"/>
      <c r="C2936" s="9"/>
      <c r="D2936" s="10"/>
      <c r="E2936" s="4"/>
      <c r="F2936" s="4"/>
      <c r="G2936" s="10"/>
      <c r="H2936" s="4"/>
      <c r="I2936" s="4"/>
      <c r="J2936" s="4"/>
      <c r="K2936" s="4"/>
      <c r="L2936" s="4"/>
      <c r="M2936" s="4"/>
      <c r="N2936" s="4"/>
      <c r="O2936" s="4"/>
      <c r="P2936" s="4"/>
      <c r="Q2936" s="4"/>
    </row>
    <row r="2937">
      <c r="A2937" s="9"/>
      <c r="B2937" s="9"/>
      <c r="C2937" s="9"/>
      <c r="D2937" s="10"/>
      <c r="E2937" s="4"/>
      <c r="F2937" s="4"/>
      <c r="G2937" s="10"/>
      <c r="H2937" s="4"/>
      <c r="I2937" s="4"/>
      <c r="J2937" s="4"/>
      <c r="K2937" s="4"/>
      <c r="L2937" s="4"/>
      <c r="M2937" s="4"/>
      <c r="N2937" s="4"/>
      <c r="O2937" s="4"/>
      <c r="P2937" s="4"/>
      <c r="Q2937" s="4"/>
    </row>
    <row r="2938">
      <c r="A2938" s="9"/>
      <c r="B2938" s="9"/>
      <c r="C2938" s="9"/>
      <c r="D2938" s="10"/>
      <c r="E2938" s="4"/>
      <c r="F2938" s="4"/>
      <c r="G2938" s="10"/>
      <c r="H2938" s="4"/>
      <c r="I2938" s="4"/>
      <c r="J2938" s="4"/>
      <c r="K2938" s="4"/>
      <c r="L2938" s="4"/>
      <c r="M2938" s="4"/>
      <c r="N2938" s="4"/>
      <c r="O2938" s="4"/>
      <c r="P2938" s="4"/>
      <c r="Q2938" s="4"/>
    </row>
    <row r="2939">
      <c r="A2939" s="9"/>
      <c r="B2939" s="9"/>
      <c r="C2939" s="9"/>
      <c r="D2939" s="10"/>
      <c r="E2939" s="4"/>
      <c r="F2939" s="4"/>
      <c r="G2939" s="10"/>
      <c r="H2939" s="4"/>
      <c r="I2939" s="4"/>
      <c r="J2939" s="4"/>
      <c r="K2939" s="4"/>
      <c r="L2939" s="4"/>
      <c r="M2939" s="4"/>
      <c r="N2939" s="4"/>
      <c r="O2939" s="4"/>
      <c r="P2939" s="4"/>
      <c r="Q2939" s="4"/>
    </row>
    <row r="2940">
      <c r="A2940" s="9"/>
      <c r="B2940" s="9"/>
      <c r="C2940" s="9"/>
      <c r="D2940" s="10"/>
      <c r="E2940" s="4"/>
      <c r="F2940" s="4"/>
      <c r="G2940" s="10"/>
      <c r="H2940" s="4"/>
      <c r="I2940" s="4"/>
      <c r="J2940" s="4"/>
      <c r="K2940" s="4"/>
      <c r="L2940" s="4"/>
      <c r="M2940" s="4"/>
      <c r="N2940" s="4"/>
      <c r="O2940" s="4"/>
      <c r="P2940" s="4"/>
      <c r="Q2940" s="4"/>
    </row>
    <row r="2941">
      <c r="A2941" s="9"/>
      <c r="B2941" s="9"/>
      <c r="C2941" s="9"/>
      <c r="D2941" s="10"/>
      <c r="E2941" s="4"/>
      <c r="F2941" s="4"/>
      <c r="G2941" s="10"/>
      <c r="H2941" s="4"/>
      <c r="I2941" s="4"/>
      <c r="J2941" s="4"/>
      <c r="K2941" s="4"/>
      <c r="L2941" s="4"/>
      <c r="M2941" s="4"/>
      <c r="N2941" s="4"/>
      <c r="O2941" s="4"/>
      <c r="P2941" s="4"/>
      <c r="Q2941" s="4"/>
    </row>
    <row r="2942">
      <c r="A2942" s="9"/>
      <c r="B2942" s="9"/>
      <c r="C2942" s="9"/>
      <c r="D2942" s="10"/>
      <c r="E2942" s="4"/>
      <c r="F2942" s="4"/>
      <c r="G2942" s="10"/>
      <c r="H2942" s="4"/>
      <c r="I2942" s="4"/>
      <c r="J2942" s="4"/>
      <c r="K2942" s="4"/>
      <c r="L2942" s="4"/>
      <c r="M2942" s="4"/>
      <c r="N2942" s="4"/>
      <c r="O2942" s="4"/>
      <c r="P2942" s="4"/>
      <c r="Q2942" s="4"/>
    </row>
    <row r="2943">
      <c r="A2943" s="9"/>
      <c r="B2943" s="9"/>
      <c r="C2943" s="9"/>
      <c r="D2943" s="10"/>
      <c r="E2943" s="4"/>
      <c r="F2943" s="4"/>
      <c r="G2943" s="10"/>
      <c r="H2943" s="4"/>
      <c r="I2943" s="4"/>
      <c r="J2943" s="4"/>
      <c r="K2943" s="4"/>
      <c r="L2943" s="4"/>
      <c r="M2943" s="4"/>
      <c r="N2943" s="4"/>
      <c r="O2943" s="4"/>
      <c r="P2943" s="4"/>
      <c r="Q2943" s="4"/>
    </row>
    <row r="2944">
      <c r="A2944" s="9"/>
      <c r="B2944" s="9"/>
      <c r="C2944" s="9"/>
      <c r="D2944" s="10"/>
      <c r="E2944" s="4"/>
      <c r="F2944" s="4"/>
      <c r="G2944" s="10"/>
      <c r="H2944" s="4"/>
      <c r="I2944" s="4"/>
      <c r="J2944" s="4"/>
      <c r="K2944" s="4"/>
      <c r="L2944" s="4"/>
      <c r="M2944" s="4"/>
      <c r="N2944" s="4"/>
      <c r="O2944" s="4"/>
      <c r="P2944" s="4"/>
      <c r="Q2944" s="4"/>
    </row>
    <row r="2945">
      <c r="A2945" s="9"/>
      <c r="B2945" s="9"/>
      <c r="C2945" s="9"/>
      <c r="D2945" s="10"/>
      <c r="E2945" s="4"/>
      <c r="F2945" s="4"/>
      <c r="G2945" s="10"/>
      <c r="H2945" s="4"/>
      <c r="I2945" s="4"/>
      <c r="J2945" s="4"/>
      <c r="K2945" s="4"/>
      <c r="L2945" s="4"/>
      <c r="M2945" s="4"/>
      <c r="N2945" s="4"/>
      <c r="O2945" s="4"/>
      <c r="P2945" s="4"/>
      <c r="Q2945" s="4"/>
    </row>
    <row r="2946">
      <c r="A2946" s="9"/>
      <c r="B2946" s="9"/>
      <c r="C2946" s="9"/>
      <c r="D2946" s="10"/>
      <c r="E2946" s="4"/>
      <c r="F2946" s="4"/>
      <c r="G2946" s="10"/>
      <c r="H2946" s="4"/>
      <c r="I2946" s="4"/>
      <c r="J2946" s="4"/>
      <c r="K2946" s="4"/>
      <c r="L2946" s="4"/>
      <c r="M2946" s="4"/>
      <c r="N2946" s="4"/>
      <c r="O2946" s="4"/>
      <c r="P2946" s="4"/>
      <c r="Q2946" s="4"/>
    </row>
    <row r="2947">
      <c r="A2947" s="9"/>
      <c r="B2947" s="9"/>
      <c r="C2947" s="9"/>
      <c r="D2947" s="10"/>
      <c r="E2947" s="4"/>
      <c r="F2947" s="4"/>
      <c r="G2947" s="10"/>
      <c r="H2947" s="4"/>
      <c r="I2947" s="4"/>
      <c r="J2947" s="4"/>
      <c r="K2947" s="4"/>
      <c r="L2947" s="4"/>
      <c r="M2947" s="4"/>
      <c r="N2947" s="4"/>
      <c r="O2947" s="4"/>
      <c r="P2947" s="4"/>
      <c r="Q2947" s="4"/>
    </row>
    <row r="2948">
      <c r="A2948" s="9"/>
      <c r="B2948" s="9"/>
      <c r="C2948" s="9"/>
      <c r="D2948" s="10"/>
      <c r="E2948" s="4"/>
      <c r="F2948" s="4"/>
      <c r="G2948" s="10"/>
      <c r="H2948" s="4"/>
      <c r="I2948" s="4"/>
      <c r="J2948" s="4"/>
      <c r="K2948" s="4"/>
      <c r="L2948" s="4"/>
      <c r="M2948" s="4"/>
      <c r="N2948" s="4"/>
      <c r="O2948" s="4"/>
      <c r="P2948" s="4"/>
      <c r="Q2948" s="4"/>
    </row>
    <row r="2949">
      <c r="A2949" s="9"/>
      <c r="B2949" s="9"/>
      <c r="C2949" s="9"/>
      <c r="D2949" s="10"/>
      <c r="E2949" s="4"/>
      <c r="F2949" s="4"/>
      <c r="G2949" s="10"/>
      <c r="H2949" s="4"/>
      <c r="I2949" s="4"/>
      <c r="J2949" s="4"/>
      <c r="K2949" s="4"/>
      <c r="L2949" s="4"/>
      <c r="M2949" s="4"/>
      <c r="N2949" s="4"/>
      <c r="O2949" s="4"/>
      <c r="P2949" s="4"/>
      <c r="Q2949" s="4"/>
    </row>
    <row r="2950">
      <c r="A2950" s="9"/>
      <c r="B2950" s="9"/>
      <c r="C2950" s="9"/>
      <c r="D2950" s="10"/>
      <c r="E2950" s="4"/>
      <c r="F2950" s="4"/>
      <c r="G2950" s="10"/>
      <c r="H2950" s="4"/>
      <c r="I2950" s="4"/>
      <c r="J2950" s="4"/>
      <c r="K2950" s="4"/>
      <c r="L2950" s="4"/>
      <c r="M2950" s="4"/>
      <c r="N2950" s="4"/>
      <c r="O2950" s="4"/>
      <c r="P2950" s="4"/>
      <c r="Q2950" s="4"/>
    </row>
    <row r="2951">
      <c r="A2951" s="9"/>
      <c r="B2951" s="9"/>
      <c r="C2951" s="9"/>
      <c r="D2951" s="10"/>
      <c r="E2951" s="4"/>
      <c r="F2951" s="4"/>
      <c r="G2951" s="10"/>
      <c r="H2951" s="4"/>
      <c r="I2951" s="4"/>
      <c r="J2951" s="4"/>
      <c r="K2951" s="4"/>
      <c r="L2951" s="4"/>
      <c r="M2951" s="4"/>
      <c r="N2951" s="4"/>
      <c r="O2951" s="4"/>
      <c r="P2951" s="4"/>
      <c r="Q2951" s="4"/>
    </row>
    <row r="2952">
      <c r="A2952" s="9"/>
      <c r="B2952" s="9"/>
      <c r="C2952" s="9"/>
      <c r="D2952" s="10"/>
      <c r="E2952" s="4"/>
      <c r="F2952" s="4"/>
      <c r="G2952" s="10"/>
      <c r="H2952" s="4"/>
      <c r="I2952" s="4"/>
      <c r="J2952" s="4"/>
      <c r="K2952" s="4"/>
      <c r="L2952" s="4"/>
      <c r="M2952" s="4"/>
      <c r="N2952" s="4"/>
      <c r="O2952" s="4"/>
      <c r="P2952" s="4"/>
      <c r="Q2952" s="4"/>
    </row>
    <row r="2953">
      <c r="A2953" s="9"/>
      <c r="B2953" s="9"/>
      <c r="C2953" s="9"/>
      <c r="D2953" s="10"/>
      <c r="E2953" s="4"/>
      <c r="F2953" s="4"/>
      <c r="G2953" s="10"/>
      <c r="H2953" s="4"/>
      <c r="I2953" s="4"/>
      <c r="J2953" s="4"/>
      <c r="K2953" s="4"/>
      <c r="L2953" s="4"/>
      <c r="M2953" s="4"/>
      <c r="N2953" s="4"/>
      <c r="O2953" s="4"/>
      <c r="P2953" s="4"/>
      <c r="Q2953" s="4"/>
    </row>
    <row r="2954">
      <c r="A2954" s="9"/>
      <c r="B2954" s="9"/>
      <c r="C2954" s="9"/>
      <c r="D2954" s="10"/>
      <c r="E2954" s="4"/>
      <c r="F2954" s="4"/>
      <c r="G2954" s="10"/>
      <c r="H2954" s="4"/>
      <c r="I2954" s="4"/>
      <c r="J2954" s="4"/>
      <c r="K2954" s="4"/>
      <c r="L2954" s="4"/>
      <c r="M2954" s="4"/>
      <c r="N2954" s="4"/>
      <c r="O2954" s="4"/>
      <c r="P2954" s="4"/>
      <c r="Q2954" s="4"/>
    </row>
    <row r="2955">
      <c r="A2955" s="9"/>
      <c r="B2955" s="9"/>
      <c r="C2955" s="9"/>
      <c r="D2955" s="10"/>
      <c r="E2955" s="4"/>
      <c r="F2955" s="4"/>
      <c r="G2955" s="10"/>
      <c r="H2955" s="4"/>
      <c r="I2955" s="4"/>
      <c r="J2955" s="4"/>
      <c r="K2955" s="4"/>
      <c r="L2955" s="4"/>
      <c r="M2955" s="4"/>
      <c r="N2955" s="4"/>
      <c r="O2955" s="4"/>
      <c r="P2955" s="4"/>
      <c r="Q2955" s="4"/>
    </row>
    <row r="2956">
      <c r="A2956" s="9"/>
      <c r="B2956" s="9"/>
      <c r="C2956" s="9"/>
      <c r="D2956" s="10"/>
      <c r="E2956" s="4"/>
      <c r="F2956" s="4"/>
      <c r="G2956" s="10"/>
      <c r="H2956" s="4"/>
      <c r="I2956" s="4"/>
      <c r="J2956" s="4"/>
      <c r="K2956" s="4"/>
      <c r="L2956" s="4"/>
      <c r="M2956" s="4"/>
      <c r="N2956" s="4"/>
      <c r="O2956" s="4"/>
      <c r="P2956" s="4"/>
      <c r="Q2956" s="4"/>
    </row>
    <row r="2957">
      <c r="A2957" s="9"/>
      <c r="B2957" s="9"/>
      <c r="C2957" s="9"/>
      <c r="D2957" s="10"/>
      <c r="E2957" s="4"/>
      <c r="F2957" s="4"/>
      <c r="G2957" s="10"/>
      <c r="H2957" s="4"/>
      <c r="I2957" s="4"/>
      <c r="J2957" s="4"/>
      <c r="K2957" s="4"/>
      <c r="L2957" s="4"/>
      <c r="M2957" s="4"/>
      <c r="N2957" s="4"/>
      <c r="O2957" s="4"/>
      <c r="P2957" s="4"/>
      <c r="Q2957" s="4"/>
    </row>
    <row r="2958">
      <c r="A2958" s="9"/>
      <c r="B2958" s="9"/>
      <c r="C2958" s="9"/>
      <c r="D2958" s="10"/>
      <c r="E2958" s="4"/>
      <c r="F2958" s="4"/>
      <c r="G2958" s="10"/>
      <c r="H2958" s="4"/>
      <c r="I2958" s="4"/>
      <c r="J2958" s="4"/>
      <c r="K2958" s="4"/>
      <c r="L2958" s="4"/>
      <c r="M2958" s="4"/>
      <c r="N2958" s="4"/>
      <c r="O2958" s="4"/>
      <c r="P2958" s="4"/>
      <c r="Q2958" s="4"/>
    </row>
    <row r="2959">
      <c r="A2959" s="9"/>
      <c r="B2959" s="9"/>
      <c r="C2959" s="9"/>
      <c r="D2959" s="10"/>
      <c r="E2959" s="4"/>
      <c r="F2959" s="4"/>
      <c r="G2959" s="10"/>
      <c r="H2959" s="4"/>
      <c r="I2959" s="4"/>
      <c r="J2959" s="4"/>
      <c r="K2959" s="4"/>
      <c r="L2959" s="4"/>
      <c r="M2959" s="4"/>
      <c r="N2959" s="4"/>
      <c r="O2959" s="4"/>
      <c r="P2959" s="4"/>
      <c r="Q2959" s="4"/>
    </row>
    <row r="2960">
      <c r="A2960" s="9"/>
      <c r="B2960" s="9"/>
      <c r="C2960" s="9"/>
      <c r="D2960" s="10"/>
      <c r="E2960" s="4"/>
      <c r="F2960" s="4"/>
      <c r="G2960" s="10"/>
      <c r="H2960" s="4"/>
      <c r="I2960" s="4"/>
      <c r="J2960" s="4"/>
      <c r="K2960" s="4"/>
      <c r="L2960" s="4"/>
      <c r="M2960" s="4"/>
      <c r="N2960" s="4"/>
      <c r="O2960" s="4"/>
      <c r="P2960" s="4"/>
      <c r="Q2960" s="4"/>
    </row>
    <row r="2961">
      <c r="A2961" s="9"/>
      <c r="B2961" s="9"/>
      <c r="C2961" s="9"/>
      <c r="D2961" s="10"/>
      <c r="E2961" s="4"/>
      <c r="F2961" s="4"/>
      <c r="G2961" s="10"/>
      <c r="H2961" s="4"/>
      <c r="I2961" s="4"/>
      <c r="J2961" s="4"/>
      <c r="K2961" s="4"/>
      <c r="L2961" s="4"/>
      <c r="M2961" s="4"/>
      <c r="N2961" s="4"/>
      <c r="O2961" s="4"/>
      <c r="P2961" s="4"/>
      <c r="Q2961" s="4"/>
    </row>
    <row r="2962">
      <c r="A2962" s="9"/>
      <c r="B2962" s="9"/>
      <c r="C2962" s="9"/>
      <c r="D2962" s="10"/>
      <c r="E2962" s="4"/>
      <c r="F2962" s="4"/>
      <c r="G2962" s="10"/>
      <c r="H2962" s="4"/>
      <c r="I2962" s="4"/>
      <c r="J2962" s="4"/>
      <c r="K2962" s="4"/>
      <c r="L2962" s="4"/>
      <c r="M2962" s="4"/>
      <c r="N2962" s="4"/>
      <c r="O2962" s="4"/>
      <c r="P2962" s="4"/>
      <c r="Q2962" s="4"/>
    </row>
    <row r="2963">
      <c r="A2963" s="9"/>
      <c r="B2963" s="9"/>
      <c r="C2963" s="9"/>
      <c r="D2963" s="10"/>
      <c r="E2963" s="4"/>
      <c r="F2963" s="4"/>
      <c r="G2963" s="10"/>
      <c r="H2963" s="4"/>
      <c r="I2963" s="4"/>
      <c r="J2963" s="4"/>
      <c r="K2963" s="4"/>
      <c r="L2963" s="4"/>
      <c r="M2963" s="4"/>
      <c r="N2963" s="4"/>
      <c r="O2963" s="4"/>
      <c r="P2963" s="4"/>
      <c r="Q2963" s="4"/>
    </row>
  </sheetData>
  <autoFilter ref="$A$1:$I$2915"/>
  <hyperlinks>
    <hyperlink r:id="rId2" ref="B848"/>
  </hyperlin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4.86"/>
    <col customWidth="1" min="2" max="2" width="73.71"/>
    <col customWidth="1" min="3" max="3" width="8.57"/>
  </cols>
  <sheetData>
    <row r="1">
      <c r="A1" s="11" t="s">
        <v>0</v>
      </c>
      <c r="B1" s="11" t="s">
        <v>1</v>
      </c>
      <c r="C1" s="11" t="s">
        <v>3468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>
      <c r="A2" s="9">
        <v>1.0</v>
      </c>
      <c r="B2" s="9" t="s">
        <v>3469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9">
        <v>2.0</v>
      </c>
      <c r="B3" s="9" t="s">
        <v>3470</v>
      </c>
      <c r="C3" s="9">
        <v>1.0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9">
        <v>3.0</v>
      </c>
      <c r="B4" s="9" t="s">
        <v>3471</v>
      </c>
      <c r="C4" s="9">
        <v>1.0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9">
        <v>4.0</v>
      </c>
      <c r="B5" s="9" t="s">
        <v>3472</v>
      </c>
      <c r="C5" s="9">
        <v>1.0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9">
        <v>5.0</v>
      </c>
      <c r="B6" s="9" t="s">
        <v>3473</v>
      </c>
      <c r="C6" s="9">
        <v>1.0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9">
        <v>6.0</v>
      </c>
      <c r="B7" s="9" t="s">
        <v>3474</v>
      </c>
      <c r="C7" s="9">
        <v>1.0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9">
        <v>7.0</v>
      </c>
      <c r="B8" s="9" t="s">
        <v>3475</v>
      </c>
      <c r="C8" s="9">
        <v>1.0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9">
        <v>8.0</v>
      </c>
      <c r="B9" s="9" t="s">
        <v>3476</v>
      </c>
      <c r="C9" s="9">
        <v>1.0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9">
        <v>9.0</v>
      </c>
      <c r="B10" s="9" t="s">
        <v>3477</v>
      </c>
      <c r="C10" s="9">
        <v>1.0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9">
        <v>10.0</v>
      </c>
      <c r="B11" s="9" t="s">
        <v>3478</v>
      </c>
      <c r="C11" s="9">
        <v>1.0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9">
        <v>11.0</v>
      </c>
      <c r="B12" s="9" t="s">
        <v>3479</v>
      </c>
      <c r="C12" s="9">
        <v>1.0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9">
        <v>12.0</v>
      </c>
      <c r="B13" s="9" t="s">
        <v>3480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9">
        <v>13.0</v>
      </c>
      <c r="B14" s="9" t="s">
        <v>3481</v>
      </c>
      <c r="C14" s="9">
        <v>12.0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9">
        <v>14.0</v>
      </c>
      <c r="B15" s="9" t="s">
        <v>3482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9">
        <v>15.0</v>
      </c>
      <c r="B16" s="9" t="s">
        <v>3483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9">
        <v>16.0</v>
      </c>
      <c r="B17" s="9" t="s">
        <v>3484</v>
      </c>
      <c r="C17" s="9">
        <v>15.0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9">
        <v>17.0</v>
      </c>
      <c r="B18" s="9" t="s">
        <v>3485</v>
      </c>
      <c r="C18" s="9">
        <v>15.0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>
      <c r="A19" s="9">
        <v>18.0</v>
      </c>
      <c r="B19" s="9" t="s">
        <v>3486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>
      <c r="A20" s="9">
        <v>19.0</v>
      </c>
      <c r="B20" s="9" t="s">
        <v>3487</v>
      </c>
      <c r="C20" s="9">
        <v>18.0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>
      <c r="A21" s="9">
        <v>20.0</v>
      </c>
      <c r="B21" s="9" t="s">
        <v>3488</v>
      </c>
      <c r="C21" s="9">
        <v>18.0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>
      <c r="A22" s="9">
        <v>21.0</v>
      </c>
      <c r="B22" s="9" t="s">
        <v>3489</v>
      </c>
      <c r="C22" s="9">
        <v>18.0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>
      <c r="A23" s="9">
        <v>22.0</v>
      </c>
      <c r="B23" s="9" t="s">
        <v>3490</v>
      </c>
      <c r="C23" s="9">
        <v>18.0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>
      <c r="A24" s="9">
        <v>23.0</v>
      </c>
      <c r="B24" s="9" t="s">
        <v>3491</v>
      </c>
      <c r="C24" s="9">
        <v>18.0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>
      <c r="A25" s="9">
        <v>24.0</v>
      </c>
      <c r="B25" s="9" t="s">
        <v>3492</v>
      </c>
      <c r="C25" s="9">
        <v>18.0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>
      <c r="A26" s="9">
        <v>25.0</v>
      </c>
      <c r="B26" s="9" t="s">
        <v>3493</v>
      </c>
      <c r="C26" s="9">
        <v>18.0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>
      <c r="A27" s="9">
        <v>26.0</v>
      </c>
      <c r="B27" s="9" t="s">
        <v>3494</v>
      </c>
      <c r="C27" s="9">
        <v>18.0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>
      <c r="A28" s="9">
        <v>27.0</v>
      </c>
      <c r="B28" s="9" t="s">
        <v>3495</v>
      </c>
      <c r="C28" s="9">
        <v>18.0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>
      <c r="A29" s="9">
        <v>28.0</v>
      </c>
      <c r="B29" s="9" t="s">
        <v>3496</v>
      </c>
      <c r="C29" s="9">
        <v>18.0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>
      <c r="A30" s="9">
        <v>29.0</v>
      </c>
      <c r="B30" s="9" t="s">
        <v>3497</v>
      </c>
      <c r="C30" s="9">
        <v>18.0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>
      <c r="A31" s="9">
        <v>30.0</v>
      </c>
      <c r="B31" s="9" t="s">
        <v>3498</v>
      </c>
      <c r="C31" s="9">
        <v>18.0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>
      <c r="A32" s="9">
        <v>31.0</v>
      </c>
      <c r="B32" s="9" t="s">
        <v>3499</v>
      </c>
      <c r="C32" s="9">
        <v>18.0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>
      <c r="A33" s="9">
        <v>32.0</v>
      </c>
      <c r="B33" s="9" t="s">
        <v>3500</v>
      </c>
      <c r="C33" s="9">
        <v>18.0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>
      <c r="A34" s="9">
        <v>33.0</v>
      </c>
      <c r="B34" s="9" t="s">
        <v>3501</v>
      </c>
      <c r="C34" s="9">
        <v>18.0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>
      <c r="A35" s="9">
        <v>34.0</v>
      </c>
      <c r="B35" s="9" t="s">
        <v>3502</v>
      </c>
      <c r="C35" s="9">
        <v>18.0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>
      <c r="A36" s="9">
        <v>35.0</v>
      </c>
      <c r="B36" s="9" t="s">
        <v>3503</v>
      </c>
      <c r="C36" s="9">
        <v>18.0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>
      <c r="A37" s="9">
        <v>36.0</v>
      </c>
      <c r="B37" s="9" t="s">
        <v>3504</v>
      </c>
      <c r="C37" s="9">
        <v>18.0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>
      <c r="A38" s="9">
        <v>37.0</v>
      </c>
      <c r="B38" s="9" t="s">
        <v>3505</v>
      </c>
      <c r="C38" s="9">
        <v>18.0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>
      <c r="A39" s="9">
        <v>38.0</v>
      </c>
      <c r="B39" s="9" t="s">
        <v>3506</v>
      </c>
      <c r="C39" s="9">
        <v>18.0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>
      <c r="A40" s="9">
        <v>39.0</v>
      </c>
      <c r="B40" s="9" t="s">
        <v>3507</v>
      </c>
      <c r="C40" s="9">
        <v>18.0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>
      <c r="A41" s="9">
        <v>40.0</v>
      </c>
      <c r="B41" s="9" t="s">
        <v>3508</v>
      </c>
      <c r="C41" s="9">
        <v>18.0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>
      <c r="A42" s="9">
        <v>41.0</v>
      </c>
      <c r="B42" s="9" t="s">
        <v>3509</v>
      </c>
      <c r="C42" s="9">
        <v>18.0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>
      <c r="A43" s="9">
        <v>42.0</v>
      </c>
      <c r="B43" s="9" t="s">
        <v>3510</v>
      </c>
      <c r="C43" s="9">
        <v>18.0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>
      <c r="A44" s="9">
        <v>43.0</v>
      </c>
      <c r="B44" s="9" t="s">
        <v>3511</v>
      </c>
      <c r="C44" s="9">
        <v>18.0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>
      <c r="A45" s="9">
        <v>44.0</v>
      </c>
      <c r="B45" s="9" t="s">
        <v>3512</v>
      </c>
      <c r="C45" s="9">
        <v>18.0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>
      <c r="A46" s="9">
        <v>45.0</v>
      </c>
      <c r="B46" s="9" t="s">
        <v>3513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>
      <c r="A47" s="9">
        <v>46.0</v>
      </c>
      <c r="B47" s="9" t="s">
        <v>3514</v>
      </c>
      <c r="C47" s="9">
        <v>45.0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>
      <c r="A48" s="9">
        <v>47.0</v>
      </c>
      <c r="B48" s="9" t="s">
        <v>3515</v>
      </c>
      <c r="C48" s="9">
        <v>45.0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>
      <c r="A49" s="9">
        <v>48.0</v>
      </c>
      <c r="B49" s="9" t="s">
        <v>3516</v>
      </c>
      <c r="C49" s="9">
        <v>45.0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>
      <c r="A50" s="9">
        <v>49.0</v>
      </c>
      <c r="B50" s="9" t="s">
        <v>3517</v>
      </c>
      <c r="C50" s="9">
        <v>45.0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>
      <c r="A51" s="9">
        <v>50.0</v>
      </c>
      <c r="B51" s="9" t="s">
        <v>3518</v>
      </c>
      <c r="C51" s="9">
        <v>45.0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>
      <c r="A52" s="9">
        <v>51.0</v>
      </c>
      <c r="B52" s="9" t="s">
        <v>3519</v>
      </c>
      <c r="C52" s="9">
        <v>45.0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>
      <c r="A53" s="9">
        <v>52.0</v>
      </c>
      <c r="B53" s="9" t="s">
        <v>3520</v>
      </c>
      <c r="C53" s="9">
        <v>45.0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>
      <c r="A54" s="9">
        <v>53.0</v>
      </c>
      <c r="B54" s="9" t="s">
        <v>3521</v>
      </c>
      <c r="C54" s="9">
        <v>45.0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>
      <c r="A55" s="9">
        <v>54.0</v>
      </c>
      <c r="B55" s="9" t="s">
        <v>3522</v>
      </c>
      <c r="C55" s="9">
        <v>45.0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>
      <c r="A56" s="9">
        <v>55.0</v>
      </c>
      <c r="B56" s="9" t="s">
        <v>3523</v>
      </c>
      <c r="C56" s="9">
        <v>45.0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>
      <c r="A57" s="9">
        <v>56.0</v>
      </c>
      <c r="B57" s="9" t="s">
        <v>3524</v>
      </c>
      <c r="C57" s="9">
        <v>45.0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>
      <c r="A58" s="9">
        <v>57.0</v>
      </c>
      <c r="B58" s="9" t="s">
        <v>3525</v>
      </c>
      <c r="C58" s="9">
        <v>45.0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>
      <c r="A59" s="9">
        <v>58.0</v>
      </c>
      <c r="B59" s="9" t="s">
        <v>3526</v>
      </c>
      <c r="C59" s="9">
        <v>45.0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>
      <c r="A60" s="9">
        <v>59.0</v>
      </c>
      <c r="B60" s="9" t="s">
        <v>3527</v>
      </c>
      <c r="C60" s="9">
        <v>45.0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>
      <c r="A61" s="9">
        <v>60.0</v>
      </c>
      <c r="B61" s="9" t="s">
        <v>3528</v>
      </c>
      <c r="C61" s="9">
        <v>45.0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>
      <c r="A62" s="9">
        <v>61.0</v>
      </c>
      <c r="B62" s="9" t="s">
        <v>3529</v>
      </c>
      <c r="C62" s="9">
        <v>45.0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>
      <c r="A63" s="9">
        <v>62.0</v>
      </c>
      <c r="B63" s="9" t="s">
        <v>3530</v>
      </c>
      <c r="C63" s="9">
        <v>45.0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>
      <c r="A64" s="9">
        <v>63.0</v>
      </c>
      <c r="B64" s="9" t="s">
        <v>3531</v>
      </c>
      <c r="C64" s="9">
        <v>45.0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>
      <c r="A65" s="9">
        <v>64.0</v>
      </c>
      <c r="B65" s="9" t="s">
        <v>3532</v>
      </c>
      <c r="C65" s="9">
        <v>45.0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>
      <c r="A66" s="9">
        <v>65.0</v>
      </c>
      <c r="B66" s="9" t="s">
        <v>3533</v>
      </c>
      <c r="C66" s="9">
        <v>45.0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>
      <c r="A67" s="9">
        <v>66.0</v>
      </c>
      <c r="B67" s="9" t="s">
        <v>3534</v>
      </c>
      <c r="C67" s="9">
        <v>45.0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>
      <c r="A68" s="9">
        <v>67.0</v>
      </c>
      <c r="B68" s="9" t="s">
        <v>3535</v>
      </c>
      <c r="C68" s="9">
        <v>45.0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>
      <c r="A69" s="9">
        <v>68.0</v>
      </c>
      <c r="B69" s="9" t="s">
        <v>3536</v>
      </c>
      <c r="C69" s="9">
        <v>45.0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>
      <c r="A70" s="9">
        <v>69.0</v>
      </c>
      <c r="B70" s="9" t="s">
        <v>3537</v>
      </c>
      <c r="C70" s="9">
        <v>45.0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>
      <c r="A71" s="9">
        <v>70.0</v>
      </c>
      <c r="B71" s="9" t="s">
        <v>3538</v>
      </c>
      <c r="C71" s="9">
        <v>45.0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>
      <c r="A72" s="9">
        <v>71.0</v>
      </c>
      <c r="B72" s="9" t="s">
        <v>3539</v>
      </c>
      <c r="C72" s="9">
        <v>45.0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>
      <c r="A73" s="9">
        <v>72.0</v>
      </c>
      <c r="B73" s="9" t="s">
        <v>3540</v>
      </c>
      <c r="C73" s="9">
        <v>45.0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>
      <c r="A74" s="9">
        <v>73.0</v>
      </c>
      <c r="B74" s="9" t="s">
        <v>3541</v>
      </c>
      <c r="C74" s="9">
        <v>45.0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>
      <c r="A75" s="9">
        <v>74.0</v>
      </c>
      <c r="B75" s="9" t="s">
        <v>3542</v>
      </c>
      <c r="C75" s="9">
        <v>45.0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>
      <c r="A76" s="9">
        <v>75.0</v>
      </c>
      <c r="B76" s="9" t="s">
        <v>3543</v>
      </c>
      <c r="C76" s="9">
        <v>45.0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>
      <c r="A77" s="9">
        <v>76.0</v>
      </c>
      <c r="B77" s="9" t="s">
        <v>3544</v>
      </c>
      <c r="C77" s="9">
        <v>45.0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>
      <c r="A78" s="9">
        <v>77.0</v>
      </c>
      <c r="B78" s="9" t="s">
        <v>3545</v>
      </c>
      <c r="C78" s="9">
        <v>45.0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>
      <c r="A79" s="9">
        <v>78.0</v>
      </c>
      <c r="B79" s="9" t="s">
        <v>3546</v>
      </c>
      <c r="C79" s="9">
        <v>45.0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>
      <c r="A80" s="9">
        <v>79.0</v>
      </c>
      <c r="B80" s="9" t="s">
        <v>3547</v>
      </c>
      <c r="C80" s="9">
        <v>45.0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>
      <c r="A81" s="9">
        <v>80.0</v>
      </c>
      <c r="B81" s="9" t="s">
        <v>3548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>
      <c r="A82" s="9">
        <v>81.0</v>
      </c>
      <c r="B82" s="9" t="s">
        <v>3549</v>
      </c>
      <c r="C82" s="9">
        <v>80.0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>
      <c r="A83" s="9">
        <v>82.0</v>
      </c>
      <c r="B83" s="9" t="s">
        <v>3550</v>
      </c>
      <c r="C83" s="9">
        <v>80.0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>
      <c r="A84" s="9">
        <v>83.0</v>
      </c>
      <c r="B84" s="9" t="s">
        <v>3551</v>
      </c>
      <c r="C84" s="9">
        <v>80.0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>
      <c r="A85" s="9">
        <v>84.0</v>
      </c>
      <c r="B85" s="9" t="s">
        <v>3552</v>
      </c>
      <c r="C85" s="9">
        <v>80.0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>
      <c r="A86" s="9">
        <v>85.0</v>
      </c>
      <c r="B86" s="9" t="s">
        <v>3553</v>
      </c>
      <c r="C86" s="9">
        <v>80.0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>
      <c r="A87" s="9">
        <v>86.0</v>
      </c>
      <c r="B87" s="9" t="s">
        <v>3554</v>
      </c>
      <c r="C87" s="9">
        <v>80.0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>
      <c r="A88" s="9">
        <v>87.0</v>
      </c>
      <c r="B88" s="9" t="s">
        <v>3555</v>
      </c>
      <c r="C88" s="9">
        <v>80.0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>
      <c r="A89" s="9">
        <v>88.0</v>
      </c>
      <c r="B89" s="9" t="s">
        <v>3556</v>
      </c>
      <c r="C89" s="9">
        <v>80.0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>
      <c r="A90" s="9">
        <v>89.0</v>
      </c>
      <c r="B90" s="9" t="s">
        <v>3557</v>
      </c>
      <c r="C90" s="9">
        <v>80.0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>
      <c r="A91" s="9">
        <v>90.0</v>
      </c>
      <c r="B91" s="9" t="s">
        <v>3558</v>
      </c>
      <c r="C91" s="9">
        <v>80.0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>
      <c r="A92" s="9">
        <v>91.0</v>
      </c>
      <c r="B92" s="9" t="s">
        <v>3559</v>
      </c>
      <c r="C92" s="9">
        <v>80.0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>
      <c r="A93" s="9">
        <v>92.0</v>
      </c>
      <c r="B93" s="9" t="s">
        <v>3560</v>
      </c>
      <c r="C93" s="9">
        <v>80.0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>
      <c r="A94" s="9">
        <v>93.0</v>
      </c>
      <c r="B94" s="9" t="s">
        <v>3561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>
      <c r="A95" s="9">
        <v>94.0</v>
      </c>
      <c r="B95" s="9" t="s">
        <v>3562</v>
      </c>
      <c r="C95" s="9">
        <v>93.0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>
      <c r="A96" s="9">
        <v>95.0</v>
      </c>
      <c r="B96" s="9" t="s">
        <v>3563</v>
      </c>
      <c r="C96" s="9">
        <v>93.0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>
      <c r="A97" s="9">
        <v>96.0</v>
      </c>
      <c r="B97" s="9" t="s">
        <v>3564</v>
      </c>
      <c r="C97" s="9">
        <v>93.0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>
      <c r="A98" s="9">
        <v>97.0</v>
      </c>
      <c r="B98" s="9" t="s">
        <v>3565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>
      <c r="A99" s="9">
        <v>98.0</v>
      </c>
      <c r="B99" s="9" t="s">
        <v>3566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>
      <c r="A100" s="9">
        <v>99.0</v>
      </c>
      <c r="B100" s="9" t="s">
        <v>3567</v>
      </c>
      <c r="C100" s="9">
        <v>98.0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>
      <c r="A101" s="9">
        <v>100.0</v>
      </c>
      <c r="B101" s="9" t="s">
        <v>3568</v>
      </c>
      <c r="C101" s="9">
        <v>98.0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>
      <c r="A102" s="9">
        <v>101.0</v>
      </c>
      <c r="B102" s="9" t="s">
        <v>3569</v>
      </c>
      <c r="C102" s="9">
        <v>98.0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>
      <c r="A103" s="9">
        <v>102.0</v>
      </c>
      <c r="B103" s="9" t="s">
        <v>3570</v>
      </c>
      <c r="C103" s="9">
        <v>98.0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>
      <c r="A104" s="9">
        <v>103.0</v>
      </c>
      <c r="B104" s="9" t="s">
        <v>3571</v>
      </c>
      <c r="C104" s="9">
        <v>98.0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>
      <c r="A105" s="9">
        <v>104.0</v>
      </c>
      <c r="B105" s="9" t="s">
        <v>3572</v>
      </c>
      <c r="C105" s="9">
        <v>98.0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>
      <c r="A106" s="9">
        <v>105.0</v>
      </c>
      <c r="B106" s="9" t="s">
        <v>3573</v>
      </c>
      <c r="C106" s="9">
        <v>98.0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>
      <c r="A107" s="9">
        <v>106.0</v>
      </c>
      <c r="B107" s="9" t="s">
        <v>3574</v>
      </c>
      <c r="C107" s="9">
        <v>98.0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>
      <c r="A108" s="9">
        <v>107.0</v>
      </c>
      <c r="B108" s="9" t="s">
        <v>3575</v>
      </c>
      <c r="C108" s="9">
        <v>98.0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>
      <c r="A109" s="9">
        <v>108.0</v>
      </c>
      <c r="B109" s="9" t="s">
        <v>3576</v>
      </c>
      <c r="C109" s="9">
        <v>98.0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>
      <c r="A110" s="9">
        <v>109.0</v>
      </c>
      <c r="B110" s="9" t="s">
        <v>3577</v>
      </c>
      <c r="C110" s="9">
        <v>98.0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>
      <c r="A111" s="9">
        <v>110.0</v>
      </c>
      <c r="B111" s="9" t="s">
        <v>3578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>
      <c r="A112" s="9">
        <v>111.0</v>
      </c>
      <c r="B112" s="9" t="s">
        <v>3579</v>
      </c>
      <c r="C112" s="9">
        <v>110.0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>
      <c r="A113" s="9">
        <v>112.0</v>
      </c>
      <c r="B113" s="9" t="s">
        <v>3580</v>
      </c>
      <c r="C113" s="9">
        <v>110.0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>
      <c r="A114" s="9">
        <v>113.0</v>
      </c>
      <c r="B114" s="9" t="s">
        <v>3581</v>
      </c>
      <c r="C114" s="9">
        <v>110.0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>
      <c r="A115" s="9">
        <v>114.0</v>
      </c>
      <c r="B115" s="9" t="s">
        <v>3582</v>
      </c>
      <c r="C115" s="9">
        <v>110.0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>
      <c r="A116" s="9">
        <v>115.0</v>
      </c>
      <c r="B116" s="9" t="s">
        <v>3583</v>
      </c>
      <c r="C116" s="9">
        <v>110.0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>
      <c r="A117" s="9">
        <v>116.0</v>
      </c>
      <c r="B117" s="9" t="s">
        <v>3584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>
      <c r="A118" s="9">
        <v>117.0</v>
      </c>
      <c r="B118" s="9" t="s">
        <v>3585</v>
      </c>
      <c r="C118" s="9">
        <v>116.0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>
      <c r="A119" s="9">
        <v>118.0</v>
      </c>
      <c r="B119" s="9" t="s">
        <v>3586</v>
      </c>
      <c r="C119" s="9">
        <v>116.0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>
      <c r="A120" s="9">
        <v>119.0</v>
      </c>
      <c r="B120" s="9" t="s">
        <v>3587</v>
      </c>
      <c r="C120" s="9">
        <v>116.0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>
      <c r="A121" s="9">
        <v>120.0</v>
      </c>
      <c r="B121" s="9" t="s">
        <v>3588</v>
      </c>
      <c r="C121" s="9">
        <v>116.0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>
      <c r="A122" s="9">
        <v>121.0</v>
      </c>
      <c r="B122" s="9" t="s">
        <v>3589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>
      <c r="A123" s="9">
        <v>122.0</v>
      </c>
      <c r="B123" s="9" t="s">
        <v>3590</v>
      </c>
      <c r="C123" s="9">
        <v>121.0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>
      <c r="A124" s="9">
        <v>123.0</v>
      </c>
      <c r="B124" s="9" t="s">
        <v>3591</v>
      </c>
      <c r="C124" s="9">
        <v>121.0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>
      <c r="A125" s="9">
        <v>124.0</v>
      </c>
      <c r="B125" s="9" t="s">
        <v>3592</v>
      </c>
      <c r="C125" s="9">
        <v>121.0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>
      <c r="A126" s="9">
        <v>125.0</v>
      </c>
      <c r="B126" s="9" t="s">
        <v>3593</v>
      </c>
      <c r="C126" s="9">
        <v>121.0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>
      <c r="A127" s="9">
        <v>126.0</v>
      </c>
      <c r="B127" s="9" t="s">
        <v>3594</v>
      </c>
      <c r="C127" s="9">
        <v>121.0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>
      <c r="A128" s="9">
        <v>127.0</v>
      </c>
      <c r="B128" s="9" t="s">
        <v>3595</v>
      </c>
      <c r="C128" s="9">
        <v>121.0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>
      <c r="A129" s="9">
        <v>128.0</v>
      </c>
      <c r="B129" s="9" t="s">
        <v>3596</v>
      </c>
      <c r="C129" s="9">
        <v>121.0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>
      <c r="A130" s="9">
        <v>129.0</v>
      </c>
      <c r="B130" s="9" t="s">
        <v>3597</v>
      </c>
      <c r="C130" s="9">
        <v>121.0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>
      <c r="A131" s="9">
        <v>130.0</v>
      </c>
      <c r="B131" s="9" t="s">
        <v>3598</v>
      </c>
      <c r="C131" s="9">
        <v>121.0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>
      <c r="A132" s="9">
        <v>131.0</v>
      </c>
      <c r="B132" s="9" t="s">
        <v>3599</v>
      </c>
      <c r="C132" s="9">
        <v>121.0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>
      <c r="A133" s="9">
        <v>132.0</v>
      </c>
      <c r="B133" s="9" t="s">
        <v>3600</v>
      </c>
      <c r="C133" s="9">
        <v>121.0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>
      <c r="A134" s="9">
        <v>133.0</v>
      </c>
      <c r="B134" s="9" t="s">
        <v>3601</v>
      </c>
      <c r="C134" s="9">
        <v>121.0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>
      <c r="A135" s="9">
        <v>134.0</v>
      </c>
      <c r="B135" s="9" t="s">
        <v>3602</v>
      </c>
      <c r="C135" s="9">
        <v>121.0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>
      <c r="A136" s="9">
        <v>135.0</v>
      </c>
      <c r="B136" s="9" t="s">
        <v>3603</v>
      </c>
      <c r="C136" s="9">
        <v>121.0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>
      <c r="A137" s="9">
        <v>136.0</v>
      </c>
      <c r="B137" s="9" t="s">
        <v>3604</v>
      </c>
      <c r="C137" s="9">
        <v>121.0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>
      <c r="A138" s="9">
        <v>137.0</v>
      </c>
      <c r="B138" s="9" t="s">
        <v>3605</v>
      </c>
      <c r="C138" s="9">
        <v>121.0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>
      <c r="A139" s="9">
        <v>138.0</v>
      </c>
      <c r="B139" s="9" t="s">
        <v>3606</v>
      </c>
      <c r="C139" s="9">
        <v>121.0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>
      <c r="A140" s="9">
        <v>139.0</v>
      </c>
      <c r="B140" s="9" t="s">
        <v>3607</v>
      </c>
      <c r="C140" s="9">
        <v>121.0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>
      <c r="A141" s="9">
        <v>140.0</v>
      </c>
      <c r="B141" s="9" t="s">
        <v>3608</v>
      </c>
      <c r="C141" s="9">
        <v>121.0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>
      <c r="A142" s="9">
        <v>141.0</v>
      </c>
      <c r="B142" s="9" t="s">
        <v>3609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>
      <c r="A143" s="9">
        <v>142.0</v>
      </c>
      <c r="B143" s="9" t="s">
        <v>3610</v>
      </c>
      <c r="C143" s="9">
        <v>141.0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>
      <c r="A144" s="9">
        <v>143.0</v>
      </c>
      <c r="B144" s="9" t="s">
        <v>3611</v>
      </c>
      <c r="C144" s="9">
        <v>141.0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>
      <c r="A145" s="9">
        <v>144.0</v>
      </c>
      <c r="B145" s="9" t="s">
        <v>3612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>
      <c r="A146" s="9">
        <v>145.0</v>
      </c>
      <c r="B146" s="9" t="s">
        <v>3613</v>
      </c>
      <c r="C146" s="9">
        <v>144.0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>
      <c r="A147" s="9">
        <v>146.0</v>
      </c>
      <c r="B147" s="9" t="s">
        <v>3614</v>
      </c>
      <c r="C147" s="9">
        <v>144.0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>
      <c r="A148" s="9">
        <v>147.0</v>
      </c>
      <c r="B148" s="9" t="s">
        <v>3615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>
      <c r="A149" s="9">
        <v>148.0</v>
      </c>
      <c r="B149" s="9" t="s">
        <v>3616</v>
      </c>
      <c r="C149" s="9">
        <v>147.0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>
      <c r="A150" s="9">
        <v>149.0</v>
      </c>
      <c r="B150" s="9" t="s">
        <v>3617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>
      <c r="A151" s="9">
        <v>150.0</v>
      </c>
      <c r="B151" s="9" t="s">
        <v>3618</v>
      </c>
      <c r="C151" s="9">
        <v>149.0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>
      <c r="A152" s="9">
        <v>151.0</v>
      </c>
      <c r="B152" s="9" t="s">
        <v>3619</v>
      </c>
      <c r="C152" s="9">
        <v>149.0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>
      <c r="A153" s="9">
        <v>152.0</v>
      </c>
      <c r="B153" s="9" t="s">
        <v>3620</v>
      </c>
      <c r="C153" s="9">
        <v>149.0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>
      <c r="A154" s="9">
        <v>153.0</v>
      </c>
      <c r="B154" s="9" t="s">
        <v>3621</v>
      </c>
      <c r="C154" s="9">
        <v>149.0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>
      <c r="A155" s="9">
        <v>154.0</v>
      </c>
      <c r="B155" s="9" t="s">
        <v>3622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>
      <c r="A156" s="9">
        <v>155.0</v>
      </c>
      <c r="B156" s="9" t="s">
        <v>3623</v>
      </c>
      <c r="C156" s="9">
        <v>154.0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>
      <c r="A157" s="9">
        <v>156.0</v>
      </c>
      <c r="B157" s="9" t="s">
        <v>3624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>
      <c r="A158" s="9">
        <v>157.0</v>
      </c>
      <c r="B158" s="9" t="s">
        <v>3625</v>
      </c>
      <c r="C158" s="9">
        <v>156.0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>
      <c r="A159" s="9">
        <v>158.0</v>
      </c>
      <c r="B159" s="9" t="s">
        <v>3626</v>
      </c>
      <c r="C159" s="9">
        <v>156.0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>
      <c r="A160" s="9">
        <v>159.0</v>
      </c>
      <c r="B160" s="9" t="s">
        <v>3627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>
      <c r="A161" s="9">
        <v>160.0</v>
      </c>
      <c r="B161" s="9" t="s">
        <v>3628</v>
      </c>
      <c r="C161" s="9">
        <v>159.0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>
      <c r="A162" s="9">
        <v>161.0</v>
      </c>
      <c r="B162" s="9" t="s">
        <v>3629</v>
      </c>
      <c r="C162" s="9">
        <v>159.0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>
      <c r="A163" s="9">
        <v>162.0</v>
      </c>
      <c r="B163" s="9" t="s">
        <v>3630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>
      <c r="A164" s="9">
        <v>163.0</v>
      </c>
      <c r="B164" s="9" t="s">
        <v>3631</v>
      </c>
      <c r="C164" s="9">
        <v>162.0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>
      <c r="A165" s="9">
        <v>164.0</v>
      </c>
      <c r="B165" s="9" t="s">
        <v>3632</v>
      </c>
      <c r="C165" s="9">
        <v>162.0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>
      <c r="A166" s="9">
        <v>165.0</v>
      </c>
      <c r="B166" s="9" t="s">
        <v>3633</v>
      </c>
      <c r="C166" s="9">
        <v>162.0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>
      <c r="A167" s="9">
        <v>166.0</v>
      </c>
      <c r="B167" s="9" t="s">
        <v>3634</v>
      </c>
      <c r="C167" s="9">
        <v>162.0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>
      <c r="A168" s="9">
        <v>167.0</v>
      </c>
      <c r="B168" s="9" t="s">
        <v>3635</v>
      </c>
      <c r="C168" s="9">
        <v>162.0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>
      <c r="A169" s="9">
        <v>168.0</v>
      </c>
      <c r="B169" s="9" t="s">
        <v>3636</v>
      </c>
      <c r="C169" s="9">
        <v>162.0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>
      <c r="A170" s="9">
        <v>169.0</v>
      </c>
      <c r="B170" s="9" t="s">
        <v>3637</v>
      </c>
      <c r="C170" s="9">
        <v>162.0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>
      <c r="A171" s="9">
        <v>170.0</v>
      </c>
      <c r="B171" s="9" t="s">
        <v>3638</v>
      </c>
      <c r="C171" s="9">
        <v>162.0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>
      <c r="A172" s="9">
        <v>171.0</v>
      </c>
      <c r="B172" s="9" t="s">
        <v>3639</v>
      </c>
      <c r="C172" s="9">
        <v>162.0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>
      <c r="A173" s="9">
        <v>172.0</v>
      </c>
      <c r="B173" s="9" t="s">
        <v>3640</v>
      </c>
      <c r="C173" s="9">
        <v>162.0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>
      <c r="A174" s="9">
        <v>173.0</v>
      </c>
      <c r="B174" s="9" t="s">
        <v>3641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>
      <c r="A175" s="9">
        <v>174.0</v>
      </c>
      <c r="B175" s="9" t="s">
        <v>3642</v>
      </c>
      <c r="C175" s="9">
        <v>173.0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>
      <c r="A176" s="9">
        <v>175.0</v>
      </c>
      <c r="B176" s="9" t="s">
        <v>3643</v>
      </c>
      <c r="C176" s="9">
        <v>173.0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>
      <c r="A177" s="9">
        <v>176.0</v>
      </c>
      <c r="B177" s="9" t="s">
        <v>3644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>
      <c r="A178" s="9">
        <v>177.0</v>
      </c>
      <c r="B178" s="9" t="s">
        <v>3645</v>
      </c>
      <c r="C178" s="9">
        <v>176.0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>
      <c r="A179" s="9">
        <v>178.0</v>
      </c>
      <c r="B179" s="9" t="s">
        <v>3646</v>
      </c>
      <c r="C179" s="9">
        <v>176.0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>
      <c r="A180" s="9">
        <v>179.0</v>
      </c>
      <c r="B180" s="9" t="s">
        <v>3647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>
      <c r="A181" s="9">
        <v>180.0</v>
      </c>
      <c r="B181" s="9" t="s">
        <v>3648</v>
      </c>
      <c r="C181" s="9">
        <v>179.0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>
      <c r="A182" s="9">
        <v>181.0</v>
      </c>
      <c r="B182" s="9" t="s">
        <v>3649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>
      <c r="A183" s="9">
        <v>182.0</v>
      </c>
      <c r="B183" s="9" t="s">
        <v>3650</v>
      </c>
      <c r="C183" s="9">
        <v>181.0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>
      <c r="A184" s="9">
        <v>183.0</v>
      </c>
      <c r="B184" s="9" t="s">
        <v>3651</v>
      </c>
      <c r="C184" s="9">
        <v>181.0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>
      <c r="A185" s="9">
        <v>184.0</v>
      </c>
      <c r="B185" s="9" t="s">
        <v>3652</v>
      </c>
      <c r="C185" s="9">
        <v>181.0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>
      <c r="A186" s="9">
        <v>185.0</v>
      </c>
      <c r="B186" s="9" t="s">
        <v>3653</v>
      </c>
      <c r="C186" s="9">
        <v>181.0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>
      <c r="A187" s="9">
        <v>186.0</v>
      </c>
      <c r="B187" s="9" t="s">
        <v>3654</v>
      </c>
      <c r="C187" s="9">
        <v>181.0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>
      <c r="A188" s="9">
        <v>187.0</v>
      </c>
      <c r="B188" s="9" t="s">
        <v>3655</v>
      </c>
      <c r="C188" s="9">
        <v>181.0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>
      <c r="A189" s="9">
        <v>188.0</v>
      </c>
      <c r="B189" s="9" t="s">
        <v>3656</v>
      </c>
      <c r="C189" s="9">
        <v>181.0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>
      <c r="A190" s="9">
        <v>189.0</v>
      </c>
      <c r="B190" s="9" t="s">
        <v>3657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>
      <c r="A191" s="9">
        <v>190.0</v>
      </c>
      <c r="B191" s="9" t="s">
        <v>3658</v>
      </c>
      <c r="C191" s="9">
        <v>189.0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>
      <c r="A192" s="9">
        <v>191.0</v>
      </c>
      <c r="B192" s="9" t="s">
        <v>3659</v>
      </c>
      <c r="C192" s="9">
        <v>189.0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>
      <c r="A193" s="9">
        <v>192.0</v>
      </c>
      <c r="B193" s="9" t="s">
        <v>3660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>
      <c r="A194" s="9">
        <v>193.0</v>
      </c>
      <c r="B194" s="9" t="s">
        <v>3661</v>
      </c>
      <c r="C194" s="9">
        <v>192.0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>
      <c r="A195" s="9">
        <v>194.0</v>
      </c>
      <c r="B195" s="9" t="s">
        <v>3662</v>
      </c>
      <c r="C195" s="9">
        <v>192.0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>
      <c r="A196" s="9">
        <v>195.0</v>
      </c>
      <c r="B196" s="9" t="s">
        <v>3663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>
      <c r="A197" s="9">
        <v>196.0</v>
      </c>
      <c r="B197" s="9" t="s">
        <v>3664</v>
      </c>
      <c r="C197" s="9">
        <v>195.0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>
      <c r="A198" s="9">
        <v>197.0</v>
      </c>
      <c r="B198" s="9" t="s">
        <v>3665</v>
      </c>
      <c r="C198" s="9">
        <v>195.0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>
      <c r="A199" s="9">
        <v>198.0</v>
      </c>
      <c r="B199" s="9" t="s">
        <v>3666</v>
      </c>
      <c r="C199" s="9">
        <v>195.0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>
      <c r="A200" s="9">
        <v>199.0</v>
      </c>
      <c r="B200" s="9" t="s">
        <v>3667</v>
      </c>
      <c r="C200" s="9">
        <v>195.0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>
      <c r="A201" s="9">
        <v>200.0</v>
      </c>
      <c r="B201" s="9" t="s">
        <v>3668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>
      <c r="A202" s="9">
        <v>201.0</v>
      </c>
      <c r="B202" s="9" t="s">
        <v>3669</v>
      </c>
      <c r="C202" s="9">
        <v>200.0</v>
      </c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>
      <c r="A203" s="9">
        <v>202.0</v>
      </c>
      <c r="B203" s="9" t="s">
        <v>3670</v>
      </c>
      <c r="C203" s="9">
        <v>200.0</v>
      </c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>
      <c r="A204" s="9">
        <v>203.0</v>
      </c>
      <c r="B204" s="9" t="s">
        <v>3671</v>
      </c>
      <c r="C204" s="9">
        <v>200.0</v>
      </c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>
      <c r="A205" s="9">
        <v>204.0</v>
      </c>
      <c r="B205" s="9" t="s">
        <v>3672</v>
      </c>
      <c r="C205" s="9">
        <v>200.0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>
      <c r="A206" s="9">
        <v>205.0</v>
      </c>
      <c r="B206" s="9" t="s">
        <v>3673</v>
      </c>
      <c r="C206" s="9">
        <v>200.0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>
      <c r="A207" s="9">
        <v>206.0</v>
      </c>
      <c r="B207" s="9" t="s">
        <v>3674</v>
      </c>
      <c r="C207" s="9">
        <v>200.0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>
      <c r="A208" s="9">
        <v>207.0</v>
      </c>
      <c r="B208" s="9" t="s">
        <v>3675</v>
      </c>
      <c r="C208" s="9">
        <v>200.0</v>
      </c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>
      <c r="A209" s="9">
        <v>208.0</v>
      </c>
      <c r="B209" s="9" t="s">
        <v>3676</v>
      </c>
      <c r="C209" s="9">
        <v>200.0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>
      <c r="A210" s="9">
        <v>209.0</v>
      </c>
      <c r="B210" s="9" t="s">
        <v>3677</v>
      </c>
      <c r="C210" s="9">
        <v>200.0</v>
      </c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>
      <c r="A211" s="9">
        <v>210.0</v>
      </c>
      <c r="B211" s="9" t="s">
        <v>3678</v>
      </c>
      <c r="C211" s="9">
        <v>200.0</v>
      </c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>
      <c r="A212" s="9">
        <v>211.0</v>
      </c>
      <c r="B212" s="9" t="s">
        <v>3679</v>
      </c>
      <c r="C212" s="9">
        <v>200.0</v>
      </c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>
      <c r="A213" s="9">
        <v>212.0</v>
      </c>
      <c r="B213" s="9" t="s">
        <v>3680</v>
      </c>
      <c r="C213" s="9">
        <v>200.0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>
      <c r="A214" s="9">
        <v>213.0</v>
      </c>
      <c r="B214" s="9" t="s">
        <v>3681</v>
      </c>
      <c r="C214" s="9">
        <v>200.0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>
      <c r="A215" s="9">
        <v>214.0</v>
      </c>
      <c r="B215" s="9" t="s">
        <v>3682</v>
      </c>
      <c r="C215" s="9">
        <v>200.0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>
      <c r="A216" s="9">
        <v>215.0</v>
      </c>
      <c r="B216" s="9" t="s">
        <v>3683</v>
      </c>
      <c r="C216" s="9">
        <v>200.0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>
      <c r="A217" s="9">
        <v>216.0</v>
      </c>
      <c r="B217" s="9" t="s">
        <v>3684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>
      <c r="A218" s="9">
        <v>217.0</v>
      </c>
      <c r="B218" s="9" t="s">
        <v>3685</v>
      </c>
      <c r="C218" s="9">
        <v>216.0</v>
      </c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>
      <c r="A219" s="9">
        <v>218.0</v>
      </c>
      <c r="B219" s="9" t="s">
        <v>3686</v>
      </c>
      <c r="C219" s="9">
        <v>216.0</v>
      </c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>
      <c r="A220" s="9">
        <v>219.0</v>
      </c>
      <c r="B220" s="9" t="s">
        <v>3687</v>
      </c>
      <c r="C220" s="9">
        <v>216.0</v>
      </c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>
      <c r="A221" s="9">
        <v>220.0</v>
      </c>
      <c r="B221" s="9" t="s">
        <v>3688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>
      <c r="A222" s="9">
        <v>221.0</v>
      </c>
      <c r="B222" s="9" t="s">
        <v>3689</v>
      </c>
      <c r="C222" s="9">
        <v>220.0</v>
      </c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>
      <c r="A223" s="9">
        <v>222.0</v>
      </c>
      <c r="B223" s="9" t="s">
        <v>3690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>
      <c r="A224" s="9">
        <v>223.0</v>
      </c>
      <c r="B224" s="9" t="s">
        <v>3691</v>
      </c>
      <c r="C224" s="9">
        <v>222.0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>
      <c r="A225" s="9">
        <v>224.0</v>
      </c>
      <c r="B225" s="9" t="s">
        <v>3692</v>
      </c>
      <c r="C225" s="9">
        <v>222.0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>
      <c r="A226" s="9">
        <v>225.0</v>
      </c>
      <c r="B226" s="9" t="s">
        <v>3693</v>
      </c>
      <c r="C226" s="9">
        <v>222.0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>
      <c r="A227" s="9">
        <v>226.0</v>
      </c>
      <c r="B227" s="9" t="s">
        <v>3694</v>
      </c>
      <c r="C227" s="9">
        <v>222.0</v>
      </c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>
      <c r="A228" s="9">
        <v>227.0</v>
      </c>
      <c r="B228" s="9" t="s">
        <v>3695</v>
      </c>
      <c r="C228" s="9">
        <v>222.0</v>
      </c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>
      <c r="A229" s="9">
        <v>228.0</v>
      </c>
      <c r="B229" s="9" t="s">
        <v>3696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>
      <c r="A230" s="9">
        <v>229.0</v>
      </c>
      <c r="B230" s="9" t="s">
        <v>3697</v>
      </c>
      <c r="C230" s="9">
        <v>228.0</v>
      </c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>
      <c r="A231" s="9">
        <v>230.0</v>
      </c>
      <c r="B231" s="9" t="s">
        <v>3698</v>
      </c>
      <c r="C231" s="9">
        <v>228.0</v>
      </c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>
      <c r="A232" s="9">
        <v>231.0</v>
      </c>
      <c r="B232" s="9" t="s">
        <v>3699</v>
      </c>
      <c r="C232" s="9">
        <v>228.0</v>
      </c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>
      <c r="A233" s="9">
        <v>232.0</v>
      </c>
      <c r="B233" s="9" t="s">
        <v>3700</v>
      </c>
      <c r="C233" s="9">
        <v>228.0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>
      <c r="A234" s="9">
        <v>233.0</v>
      </c>
      <c r="B234" s="9" t="s">
        <v>3701</v>
      </c>
      <c r="C234" s="9">
        <v>228.0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>
      <c r="A235" s="9">
        <v>234.0</v>
      </c>
      <c r="B235" s="9" t="s">
        <v>3702</v>
      </c>
      <c r="C235" s="9">
        <v>228.0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>
      <c r="A236" s="9">
        <v>235.0</v>
      </c>
      <c r="B236" s="9" t="s">
        <v>3703</v>
      </c>
      <c r="C236" s="9">
        <v>228.0</v>
      </c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>
      <c r="A237" s="9">
        <v>236.0</v>
      </c>
      <c r="B237" s="9" t="s">
        <v>3704</v>
      </c>
      <c r="C237" s="9">
        <v>228.0</v>
      </c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>
      <c r="A238" s="9">
        <v>237.0</v>
      </c>
      <c r="B238" s="9" t="s">
        <v>3705</v>
      </c>
      <c r="C238" s="9">
        <v>228.0</v>
      </c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>
      <c r="A239" s="9">
        <v>238.0</v>
      </c>
      <c r="B239" s="9" t="s">
        <v>3706</v>
      </c>
      <c r="C239" s="9">
        <v>228.0</v>
      </c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>
      <c r="A240" s="9">
        <v>239.0</v>
      </c>
      <c r="B240" s="9" t="s">
        <v>3707</v>
      </c>
      <c r="C240" s="9">
        <v>228.0</v>
      </c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>
      <c r="A241" s="9">
        <v>240.0</v>
      </c>
      <c r="B241" s="9" t="s">
        <v>3708</v>
      </c>
      <c r="C241" s="9">
        <v>228.0</v>
      </c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>
      <c r="A242" s="9">
        <v>241.0</v>
      </c>
      <c r="B242" s="9" t="s">
        <v>3709</v>
      </c>
      <c r="C242" s="9">
        <v>228.0</v>
      </c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>
      <c r="A243" s="9">
        <v>242.0</v>
      </c>
      <c r="B243" s="9" t="s">
        <v>3710</v>
      </c>
      <c r="C243" s="9">
        <v>228.0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>
      <c r="A244" s="9">
        <v>243.0</v>
      </c>
      <c r="B244" s="9" t="s">
        <v>3711</v>
      </c>
      <c r="C244" s="9">
        <v>228.0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>
      <c r="A245" s="9">
        <v>244.0</v>
      </c>
      <c r="B245" s="9" t="s">
        <v>3712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>
      <c r="A246" s="9">
        <v>245.0</v>
      </c>
      <c r="B246" s="9" t="s">
        <v>3713</v>
      </c>
      <c r="C246" s="9">
        <v>244.0</v>
      </c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>
      <c r="A247" s="9">
        <v>246.0</v>
      </c>
      <c r="B247" s="9" t="s">
        <v>3714</v>
      </c>
      <c r="C247" s="9">
        <v>244.0</v>
      </c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>
      <c r="A248" s="9">
        <v>247.0</v>
      </c>
      <c r="B248" s="9" t="s">
        <v>3715</v>
      </c>
      <c r="C248" s="9">
        <v>244.0</v>
      </c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>
      <c r="A249" s="9">
        <v>248.0</v>
      </c>
      <c r="B249" s="9" t="s">
        <v>3716</v>
      </c>
      <c r="C249" s="9">
        <v>244.0</v>
      </c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>
      <c r="A250" s="9">
        <v>249.0</v>
      </c>
      <c r="B250" s="9" t="s">
        <v>3717</v>
      </c>
      <c r="C250" s="9">
        <v>244.0</v>
      </c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>
      <c r="A251" s="9">
        <v>250.0</v>
      </c>
      <c r="B251" s="9" t="s">
        <v>3718</v>
      </c>
      <c r="C251" s="9">
        <v>244.0</v>
      </c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>
      <c r="A252" s="9">
        <v>251.0</v>
      </c>
      <c r="B252" s="9" t="s">
        <v>3719</v>
      </c>
      <c r="C252" s="9">
        <v>244.0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>
      <c r="A253" s="9">
        <v>252.0</v>
      </c>
      <c r="B253" s="9" t="s">
        <v>3720</v>
      </c>
      <c r="C253" s="9">
        <v>244.0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>
      <c r="A254" s="9">
        <v>253.0</v>
      </c>
      <c r="B254" s="9" t="s">
        <v>3721</v>
      </c>
      <c r="C254" s="9">
        <v>244.0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>
      <c r="A255" s="9">
        <v>254.0</v>
      </c>
      <c r="B255" s="9" t="s">
        <v>3722</v>
      </c>
      <c r="C255" s="9">
        <v>244.0</v>
      </c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>
      <c r="A256" s="9">
        <v>255.0</v>
      </c>
      <c r="B256" s="9" t="s">
        <v>3723</v>
      </c>
      <c r="C256" s="9">
        <v>244.0</v>
      </c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>
      <c r="A257" s="9">
        <v>256.0</v>
      </c>
      <c r="B257" s="9" t="s">
        <v>3724</v>
      </c>
      <c r="C257" s="9">
        <v>244.0</v>
      </c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>
      <c r="A258" s="9">
        <v>257.0</v>
      </c>
      <c r="B258" s="9" t="s">
        <v>3725</v>
      </c>
      <c r="C258" s="9">
        <v>244.0</v>
      </c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>
      <c r="A259" s="9">
        <v>258.0</v>
      </c>
      <c r="B259" s="9" t="s">
        <v>3726</v>
      </c>
      <c r="C259" s="9">
        <v>244.0</v>
      </c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>
      <c r="A260" s="9">
        <v>259.0</v>
      </c>
      <c r="B260" s="9" t="s">
        <v>3727</v>
      </c>
      <c r="C260" s="9">
        <v>244.0</v>
      </c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>
      <c r="A261" s="9">
        <v>260.0</v>
      </c>
      <c r="B261" s="9" t="s">
        <v>3728</v>
      </c>
      <c r="C261" s="9">
        <v>244.0</v>
      </c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>
      <c r="A262" s="9">
        <v>261.0</v>
      </c>
      <c r="B262" s="9" t="s">
        <v>3729</v>
      </c>
      <c r="C262" s="9">
        <v>244.0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>
      <c r="A263" s="9">
        <v>262.0</v>
      </c>
      <c r="B263" s="9" t="s">
        <v>3730</v>
      </c>
      <c r="C263" s="9">
        <v>244.0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>
      <c r="A264" s="9">
        <v>263.0</v>
      </c>
      <c r="B264" s="9" t="s">
        <v>3731</v>
      </c>
      <c r="C264" s="9">
        <v>244.0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>
      <c r="A265" s="9">
        <v>264.0</v>
      </c>
      <c r="B265" s="9" t="s">
        <v>3732</v>
      </c>
      <c r="C265" s="9">
        <v>244.0</v>
      </c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>
      <c r="A266" s="9">
        <v>265.0</v>
      </c>
      <c r="B266" s="9" t="s">
        <v>3733</v>
      </c>
      <c r="C266" s="9">
        <v>244.0</v>
      </c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>
      <c r="A267" s="9">
        <v>266.0</v>
      </c>
      <c r="B267" s="9" t="s">
        <v>3734</v>
      </c>
      <c r="C267" s="9">
        <v>244.0</v>
      </c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>
      <c r="A268" s="9">
        <v>267.0</v>
      </c>
      <c r="B268" s="9" t="s">
        <v>3735</v>
      </c>
      <c r="C268" s="9">
        <v>244.0</v>
      </c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>
      <c r="A269" s="9">
        <v>268.0</v>
      </c>
      <c r="B269" s="9" t="s">
        <v>3736</v>
      </c>
      <c r="C269" s="9">
        <v>244.0</v>
      </c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>
      <c r="A270" s="9">
        <v>269.0</v>
      </c>
      <c r="B270" s="9" t="s">
        <v>3737</v>
      </c>
      <c r="C270" s="9">
        <v>244.0</v>
      </c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>
      <c r="A271" s="9">
        <v>270.0</v>
      </c>
      <c r="B271" s="9" t="s">
        <v>3738</v>
      </c>
      <c r="C271" s="9">
        <v>244.0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>
      <c r="A272" s="9">
        <v>271.0</v>
      </c>
      <c r="B272" s="9" t="s">
        <v>3739</v>
      </c>
      <c r="C272" s="9">
        <v>244.0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>
      <c r="A273" s="9">
        <v>272.0</v>
      </c>
      <c r="B273" s="9" t="s">
        <v>3740</v>
      </c>
      <c r="C273" s="9">
        <v>244.0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>
      <c r="A274" s="9">
        <v>273.0</v>
      </c>
      <c r="B274" s="9" t="s">
        <v>3741</v>
      </c>
      <c r="C274" s="9">
        <v>244.0</v>
      </c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>
      <c r="A275" s="9">
        <v>274.0</v>
      </c>
      <c r="B275" s="9" t="s">
        <v>3742</v>
      </c>
      <c r="C275" s="9">
        <v>244.0</v>
      </c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>
      <c r="A276" s="9">
        <v>275.0</v>
      </c>
      <c r="B276" s="9" t="s">
        <v>3743</v>
      </c>
      <c r="C276" s="9">
        <v>244.0</v>
      </c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>
      <c r="A277" s="9">
        <v>276.0</v>
      </c>
      <c r="B277" s="9" t="s">
        <v>3744</v>
      </c>
      <c r="C277" s="9">
        <v>244.0</v>
      </c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>
      <c r="A278" s="9">
        <v>277.0</v>
      </c>
      <c r="B278" s="9" t="s">
        <v>3745</v>
      </c>
      <c r="C278" s="9">
        <v>244.0</v>
      </c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>
      <c r="A279" s="9">
        <v>278.0</v>
      </c>
      <c r="B279" s="9" t="s">
        <v>3746</v>
      </c>
      <c r="C279" s="9">
        <v>244.0</v>
      </c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>
      <c r="A280" s="9">
        <v>279.0</v>
      </c>
      <c r="B280" s="9" t="s">
        <v>3747</v>
      </c>
      <c r="C280" s="9">
        <v>244.0</v>
      </c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>
      <c r="A281" s="9">
        <v>280.0</v>
      </c>
      <c r="B281" s="9" t="s">
        <v>3748</v>
      </c>
      <c r="C281" s="9">
        <v>244.0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>
      <c r="A282" s="9">
        <v>281.0</v>
      </c>
      <c r="B282" s="9" t="s">
        <v>3749</v>
      </c>
      <c r="C282" s="9">
        <v>244.0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>
      <c r="A283" s="9">
        <v>282.0</v>
      </c>
      <c r="B283" s="9" t="s">
        <v>3750</v>
      </c>
      <c r="C283" s="9">
        <v>244.0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>
      <c r="A284" s="9">
        <v>283.0</v>
      </c>
      <c r="B284" s="9" t="s">
        <v>3751</v>
      </c>
      <c r="C284" s="9">
        <v>244.0</v>
      </c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>
      <c r="A285" s="9">
        <v>284.0</v>
      </c>
      <c r="B285" s="9" t="s">
        <v>3752</v>
      </c>
      <c r="C285" s="9">
        <v>244.0</v>
      </c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>
      <c r="A286" s="9">
        <v>285.0</v>
      </c>
      <c r="B286" s="9" t="s">
        <v>3753</v>
      </c>
      <c r="C286" s="9">
        <v>244.0</v>
      </c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>
      <c r="A287" s="9">
        <v>286.0</v>
      </c>
      <c r="B287" s="9" t="s">
        <v>3754</v>
      </c>
      <c r="C287" s="9">
        <v>244.0</v>
      </c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>
      <c r="A288" s="9">
        <v>287.0</v>
      </c>
      <c r="B288" s="9" t="s">
        <v>3755</v>
      </c>
      <c r="C288" s="9">
        <v>244.0</v>
      </c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>
      <c r="A289" s="9">
        <v>288.0</v>
      </c>
      <c r="B289" s="9" t="s">
        <v>3756</v>
      </c>
      <c r="C289" s="9">
        <v>244.0</v>
      </c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>
      <c r="A290" s="9">
        <v>289.0</v>
      </c>
      <c r="B290" s="9" t="s">
        <v>3757</v>
      </c>
      <c r="C290" s="9">
        <v>244.0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>
      <c r="A291" s="9">
        <v>290.0</v>
      </c>
      <c r="B291" s="9" t="s">
        <v>3758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>
      <c r="A292" s="9">
        <v>291.0</v>
      </c>
      <c r="B292" s="9" t="s">
        <v>3759</v>
      </c>
      <c r="C292" s="9">
        <v>290.0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>
      <c r="A293" s="9">
        <v>292.0</v>
      </c>
      <c r="B293" s="9" t="s">
        <v>3760</v>
      </c>
      <c r="C293" s="9">
        <v>290.0</v>
      </c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>
      <c r="A294" s="9">
        <v>293.0</v>
      </c>
      <c r="B294" s="9" t="s">
        <v>3761</v>
      </c>
      <c r="C294" s="9">
        <v>290.0</v>
      </c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>
      <c r="A295" s="9">
        <v>294.0</v>
      </c>
      <c r="B295" s="9" t="s">
        <v>3762</v>
      </c>
      <c r="C295" s="9">
        <v>290.0</v>
      </c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>
      <c r="A296" s="9">
        <v>295.0</v>
      </c>
      <c r="B296" s="9" t="s">
        <v>3763</v>
      </c>
      <c r="C296" s="9">
        <v>290.0</v>
      </c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>
      <c r="A297" s="9">
        <v>296.0</v>
      </c>
      <c r="B297" s="9" t="s">
        <v>3764</v>
      </c>
      <c r="C297" s="9">
        <v>290.0</v>
      </c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>
      <c r="A298" s="9">
        <v>297.0</v>
      </c>
      <c r="B298" s="9" t="s">
        <v>3765</v>
      </c>
      <c r="C298" s="9">
        <v>290.0</v>
      </c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>
      <c r="A299" s="9">
        <v>298.0</v>
      </c>
      <c r="B299" s="9" t="s">
        <v>3766</v>
      </c>
      <c r="C299" s="9">
        <v>290.0</v>
      </c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>
      <c r="A300" s="9">
        <v>299.0</v>
      </c>
      <c r="B300" s="9" t="s">
        <v>3767</v>
      </c>
      <c r="C300" s="9">
        <v>290.0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>
      <c r="A301" s="9">
        <v>300.0</v>
      </c>
      <c r="B301" s="9" t="s">
        <v>3768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>
      <c r="A302" s="9">
        <v>301.0</v>
      </c>
      <c r="B302" s="9" t="s">
        <v>3769</v>
      </c>
      <c r="C302" s="9">
        <v>300.0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>
      <c r="A303" s="9">
        <v>302.0</v>
      </c>
      <c r="B303" s="9" t="s">
        <v>3770</v>
      </c>
      <c r="C303" s="9">
        <v>300.0</v>
      </c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>
      <c r="A304" s="9">
        <v>303.0</v>
      </c>
      <c r="B304" s="9" t="s">
        <v>3771</v>
      </c>
      <c r="C304" s="9">
        <v>300.0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>
      <c r="A305" s="9">
        <v>304.0</v>
      </c>
      <c r="B305" s="9" t="s">
        <v>3772</v>
      </c>
      <c r="C305" s="9">
        <v>300.0</v>
      </c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>
      <c r="A306" s="9">
        <v>305.0</v>
      </c>
      <c r="B306" s="9" t="s">
        <v>3773</v>
      </c>
      <c r="C306" s="9">
        <v>300.0</v>
      </c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>
      <c r="A307" s="9">
        <v>306.0</v>
      </c>
      <c r="B307" s="9" t="s">
        <v>3774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>
      <c r="A308" s="9">
        <v>307.0</v>
      </c>
      <c r="B308" s="9" t="s">
        <v>3775</v>
      </c>
      <c r="C308" s="9">
        <v>306.0</v>
      </c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>
      <c r="A309" s="9">
        <v>308.0</v>
      </c>
      <c r="B309" s="9" t="s">
        <v>3776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>
      <c r="A310" s="9">
        <v>309.0</v>
      </c>
      <c r="B310" s="9" t="s">
        <v>3777</v>
      </c>
      <c r="C310" s="9">
        <v>308.0</v>
      </c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>
      <c r="A311" s="9">
        <v>310.0</v>
      </c>
      <c r="B311" s="9" t="s">
        <v>3778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>
      <c r="A312" s="9">
        <v>311.0</v>
      </c>
      <c r="B312" s="9" t="s">
        <v>3779</v>
      </c>
      <c r="C312" s="9">
        <v>310.0</v>
      </c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>
      <c r="A313" s="9">
        <v>312.0</v>
      </c>
      <c r="B313" s="9" t="s">
        <v>3780</v>
      </c>
      <c r="C313" s="9">
        <v>310.0</v>
      </c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>
      <c r="A314" s="9">
        <v>313.0</v>
      </c>
      <c r="B314" s="9" t="s">
        <v>3781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>
      <c r="A315" s="9">
        <v>314.0</v>
      </c>
      <c r="B315" s="9" t="s">
        <v>3782</v>
      </c>
      <c r="C315" s="9">
        <v>313.0</v>
      </c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>
      <c r="A316" s="9">
        <v>315.0</v>
      </c>
      <c r="B316" s="9" t="s">
        <v>3783</v>
      </c>
      <c r="C316" s="9">
        <v>313.0</v>
      </c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>
      <c r="A317" s="9">
        <v>316.0</v>
      </c>
      <c r="B317" s="9" t="s">
        <v>3784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>
      <c r="A318" s="9">
        <v>317.0</v>
      </c>
      <c r="B318" s="9" t="s">
        <v>3785</v>
      </c>
      <c r="C318" s="9">
        <v>316.0</v>
      </c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>
      <c r="A319" s="9">
        <v>318.0</v>
      </c>
      <c r="B319" s="9" t="s">
        <v>3786</v>
      </c>
      <c r="C319" s="9">
        <v>316.0</v>
      </c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>
      <c r="A320" s="9">
        <v>319.0</v>
      </c>
      <c r="B320" s="9" t="s">
        <v>3787</v>
      </c>
      <c r="C320" s="9">
        <v>316.0</v>
      </c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>
      <c r="A321" s="9">
        <v>320.0</v>
      </c>
      <c r="B321" s="9" t="s">
        <v>3788</v>
      </c>
      <c r="C321" s="9">
        <v>316.0</v>
      </c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>
      <c r="A322" s="9">
        <v>321.0</v>
      </c>
      <c r="B322" s="9" t="s">
        <v>3789</v>
      </c>
      <c r="C322" s="9">
        <v>316.0</v>
      </c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>
      <c r="A323" s="9">
        <v>322.0</v>
      </c>
      <c r="B323" s="9" t="s">
        <v>3790</v>
      </c>
      <c r="C323" s="9">
        <v>316.0</v>
      </c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>
      <c r="A324" s="9">
        <v>323.0</v>
      </c>
      <c r="B324" s="9" t="s">
        <v>3791</v>
      </c>
      <c r="C324" s="9">
        <v>316.0</v>
      </c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>
      <c r="A325" s="9">
        <v>324.0</v>
      </c>
      <c r="B325" s="9" t="s">
        <v>3792</v>
      </c>
      <c r="C325" s="9">
        <v>316.0</v>
      </c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>
      <c r="A326" s="9">
        <v>325.0</v>
      </c>
      <c r="B326" s="9" t="s">
        <v>3793</v>
      </c>
      <c r="C326" s="9">
        <v>316.0</v>
      </c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>
      <c r="A327" s="9">
        <v>326.0</v>
      </c>
      <c r="B327" s="9" t="s">
        <v>3794</v>
      </c>
      <c r="C327" s="9">
        <v>316.0</v>
      </c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>
      <c r="A328" s="9">
        <v>327.0</v>
      </c>
      <c r="B328" s="9" t="s">
        <v>3795</v>
      </c>
      <c r="C328" s="9">
        <v>316.0</v>
      </c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>
      <c r="A329" s="9">
        <v>328.0</v>
      </c>
      <c r="B329" s="9" t="s">
        <v>3796</v>
      </c>
      <c r="C329" s="9">
        <v>316.0</v>
      </c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>
      <c r="A330" s="9">
        <v>329.0</v>
      </c>
      <c r="B330" s="9" t="s">
        <v>3797</v>
      </c>
      <c r="C330" s="9">
        <v>316.0</v>
      </c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>
      <c r="A331" s="9">
        <v>330.0</v>
      </c>
      <c r="B331" s="9" t="s">
        <v>3798</v>
      </c>
      <c r="C331" s="9">
        <v>316.0</v>
      </c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>
      <c r="A332" s="9">
        <v>331.0</v>
      </c>
      <c r="B332" s="9" t="s">
        <v>3799</v>
      </c>
      <c r="C332" s="9">
        <v>316.0</v>
      </c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>
      <c r="A333" s="9">
        <v>332.0</v>
      </c>
      <c r="B333" s="9" t="s">
        <v>3800</v>
      </c>
      <c r="C333" s="9">
        <v>316.0</v>
      </c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>
      <c r="A334" s="9">
        <v>333.0</v>
      </c>
      <c r="B334" s="9" t="s">
        <v>3801</v>
      </c>
      <c r="C334" s="9">
        <v>316.0</v>
      </c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>
      <c r="A335" s="9">
        <v>334.0</v>
      </c>
      <c r="B335" s="9" t="s">
        <v>3802</v>
      </c>
      <c r="C335" s="9">
        <v>316.0</v>
      </c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>
      <c r="A336" s="9">
        <v>335.0</v>
      </c>
      <c r="B336" s="9" t="s">
        <v>3803</v>
      </c>
      <c r="C336" s="9">
        <v>316.0</v>
      </c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>
      <c r="A337" s="9">
        <v>336.0</v>
      </c>
      <c r="B337" s="9" t="s">
        <v>3804</v>
      </c>
      <c r="C337" s="9">
        <v>316.0</v>
      </c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>
      <c r="A338" s="9">
        <v>337.0</v>
      </c>
      <c r="B338" s="9" t="s">
        <v>3805</v>
      </c>
      <c r="C338" s="9">
        <v>316.0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>
      <c r="A339" s="9">
        <v>338.0</v>
      </c>
      <c r="B339" s="9" t="s">
        <v>3806</v>
      </c>
      <c r="C339" s="9">
        <v>316.0</v>
      </c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>
      <c r="A340" s="9">
        <v>339.0</v>
      </c>
      <c r="B340" s="9" t="s">
        <v>3807</v>
      </c>
      <c r="C340" s="9">
        <v>316.0</v>
      </c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>
      <c r="A341" s="9">
        <v>340.0</v>
      </c>
      <c r="B341" s="9" t="s">
        <v>3808</v>
      </c>
      <c r="C341" s="9">
        <v>316.0</v>
      </c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>
      <c r="A342" s="9">
        <v>341.0</v>
      </c>
      <c r="B342" s="9" t="s">
        <v>3809</v>
      </c>
      <c r="C342" s="9">
        <v>316.0</v>
      </c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>
      <c r="A343" s="9">
        <v>342.0</v>
      </c>
      <c r="B343" s="9" t="s">
        <v>3810</v>
      </c>
      <c r="C343" s="9">
        <v>316.0</v>
      </c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>
      <c r="A344" s="9">
        <v>343.0</v>
      </c>
      <c r="B344" s="9" t="s">
        <v>3811</v>
      </c>
      <c r="C344" s="9">
        <v>316.0</v>
      </c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>
      <c r="A345" s="9">
        <v>344.0</v>
      </c>
      <c r="B345" s="9" t="s">
        <v>3812</v>
      </c>
      <c r="C345" s="9">
        <v>316.0</v>
      </c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>
      <c r="A346" s="9">
        <v>345.0</v>
      </c>
      <c r="B346" s="9" t="s">
        <v>3813</v>
      </c>
      <c r="C346" s="9">
        <v>316.0</v>
      </c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>
      <c r="A347" s="9">
        <v>346.0</v>
      </c>
      <c r="B347" s="9" t="s">
        <v>3814</v>
      </c>
      <c r="C347" s="9">
        <v>316.0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>
      <c r="A348" s="9">
        <v>347.0</v>
      </c>
      <c r="B348" s="9" t="s">
        <v>3815</v>
      </c>
      <c r="C348" s="9">
        <v>316.0</v>
      </c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>
      <c r="A349" s="9">
        <v>348.0</v>
      </c>
      <c r="B349" s="9" t="s">
        <v>3816</v>
      </c>
      <c r="C349" s="9">
        <v>316.0</v>
      </c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>
      <c r="A350" s="9">
        <v>349.0</v>
      </c>
      <c r="B350" s="9" t="s">
        <v>3817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>
      <c r="A351" s="9">
        <v>350.0</v>
      </c>
      <c r="B351" s="9" t="s">
        <v>3818</v>
      </c>
      <c r="C351" s="9">
        <v>349.0</v>
      </c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>
      <c r="A352" s="9">
        <v>351.0</v>
      </c>
      <c r="B352" s="9" t="s">
        <v>3819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>
      <c r="A353" s="9">
        <v>352.0</v>
      </c>
      <c r="B353" s="9" t="s">
        <v>3820</v>
      </c>
      <c r="C353" s="9">
        <v>351.0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>
      <c r="A354" s="9">
        <v>353.0</v>
      </c>
      <c r="B354" s="9" t="s">
        <v>3821</v>
      </c>
      <c r="C354" s="9">
        <v>351.0</v>
      </c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>
      <c r="A355" s="9">
        <v>354.0</v>
      </c>
      <c r="B355" s="9" t="s">
        <v>3822</v>
      </c>
      <c r="C355" s="9">
        <v>351.0</v>
      </c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>
      <c r="A356" s="9">
        <v>355.0</v>
      </c>
      <c r="B356" s="9" t="s">
        <v>3823</v>
      </c>
      <c r="C356" s="9">
        <v>351.0</v>
      </c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>
      <c r="A357" s="9">
        <v>356.0</v>
      </c>
      <c r="B357" s="9" t="s">
        <v>3824</v>
      </c>
      <c r="C357" s="9">
        <v>351.0</v>
      </c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>
      <c r="A358" s="9">
        <v>357.0</v>
      </c>
      <c r="B358" s="9" t="s">
        <v>3825</v>
      </c>
      <c r="C358" s="9">
        <v>351.0</v>
      </c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>
      <c r="A359" s="9">
        <v>358.0</v>
      </c>
      <c r="B359" s="9" t="s">
        <v>3826</v>
      </c>
      <c r="C359" s="9">
        <v>351.0</v>
      </c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>
      <c r="A360" s="9">
        <v>359.0</v>
      </c>
      <c r="B360" s="9" t="s">
        <v>3827</v>
      </c>
      <c r="C360" s="9">
        <v>351.0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>
      <c r="A361" s="9">
        <v>360.0</v>
      </c>
      <c r="B361" s="9" t="s">
        <v>3828</v>
      </c>
      <c r="C361" s="9">
        <v>351.0</v>
      </c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>
      <c r="A362" s="9">
        <v>361.0</v>
      </c>
      <c r="B362" s="9" t="s">
        <v>3829</v>
      </c>
      <c r="C362" s="9">
        <v>351.0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>
      <c r="A363" s="9">
        <v>362.0</v>
      </c>
      <c r="B363" s="9" t="s">
        <v>3830</v>
      </c>
      <c r="C363" s="9">
        <v>351.0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>
      <c r="A364" s="9">
        <v>363.0</v>
      </c>
      <c r="B364" s="9" t="s">
        <v>3831</v>
      </c>
      <c r="C364" s="9">
        <v>351.0</v>
      </c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>
      <c r="A365" s="9">
        <v>364.0</v>
      </c>
      <c r="B365" s="9" t="s">
        <v>3832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>
      <c r="A366" s="9">
        <v>365.0</v>
      </c>
      <c r="B366" s="9" t="s">
        <v>3833</v>
      </c>
      <c r="C366" s="9">
        <v>364.0</v>
      </c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>
      <c r="A367" s="9">
        <v>366.0</v>
      </c>
      <c r="B367" s="9" t="s">
        <v>3834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>
      <c r="A368" s="9">
        <v>367.0</v>
      </c>
      <c r="B368" s="9" t="s">
        <v>3835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>
      <c r="A369" s="9">
        <v>368.0</v>
      </c>
      <c r="B369" s="9" t="s">
        <v>3836</v>
      </c>
      <c r="C369" s="9">
        <v>367.0</v>
      </c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>
      <c r="A370" s="9">
        <v>369.0</v>
      </c>
      <c r="B370" s="9" t="s">
        <v>3837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>
      <c r="A371" s="9">
        <v>370.0</v>
      </c>
      <c r="B371" s="9" t="s">
        <v>3838</v>
      </c>
      <c r="C371" s="9">
        <v>369.0</v>
      </c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>
      <c r="A372" s="9">
        <v>371.0</v>
      </c>
      <c r="B372" s="9" t="s">
        <v>3839</v>
      </c>
      <c r="C372" s="9">
        <v>369.0</v>
      </c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>
      <c r="A373" s="9">
        <v>372.0</v>
      </c>
      <c r="B373" s="9" t="s">
        <v>3840</v>
      </c>
      <c r="C373" s="9">
        <v>369.0</v>
      </c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>
      <c r="A374" s="9">
        <v>373.0</v>
      </c>
      <c r="B374" s="9" t="s">
        <v>3841</v>
      </c>
      <c r="C374" s="9">
        <v>369.0</v>
      </c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>
      <c r="A375" s="9">
        <v>374.0</v>
      </c>
      <c r="B375" s="9" t="s">
        <v>3842</v>
      </c>
      <c r="C375" s="9">
        <v>369.0</v>
      </c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>
      <c r="A376" s="9">
        <v>375.0</v>
      </c>
      <c r="B376" s="9" t="s">
        <v>3843</v>
      </c>
      <c r="C376" s="9">
        <v>369.0</v>
      </c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>
      <c r="A377" s="9">
        <v>376.0</v>
      </c>
      <c r="B377" s="9" t="s">
        <v>3844</v>
      </c>
      <c r="C377" s="9">
        <v>369.0</v>
      </c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>
      <c r="A378" s="9">
        <v>377.0</v>
      </c>
      <c r="B378" s="9" t="s">
        <v>3845</v>
      </c>
      <c r="C378" s="9">
        <v>369.0</v>
      </c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>
      <c r="A379" s="9">
        <v>378.0</v>
      </c>
      <c r="B379" s="9" t="s">
        <v>3846</v>
      </c>
      <c r="C379" s="9">
        <v>369.0</v>
      </c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>
      <c r="A380" s="9">
        <v>379.0</v>
      </c>
      <c r="B380" s="9" t="s">
        <v>3847</v>
      </c>
      <c r="C380" s="9">
        <v>369.0</v>
      </c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>
      <c r="A381" s="9">
        <v>380.0</v>
      </c>
      <c r="B381" s="9" t="s">
        <v>3848</v>
      </c>
      <c r="C381" s="9">
        <v>369.0</v>
      </c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>
      <c r="A382" s="9">
        <v>381.0</v>
      </c>
      <c r="B382" s="9" t="s">
        <v>3849</v>
      </c>
      <c r="C382" s="9">
        <v>369.0</v>
      </c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>
      <c r="A383" s="9">
        <v>382.0</v>
      </c>
      <c r="B383" s="9" t="s">
        <v>3850</v>
      </c>
      <c r="C383" s="9">
        <v>369.0</v>
      </c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>
      <c r="A384" s="9">
        <v>383.0</v>
      </c>
      <c r="B384" s="9" t="s">
        <v>3851</v>
      </c>
      <c r="C384" s="9">
        <v>369.0</v>
      </c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>
      <c r="A385" s="9">
        <v>384.0</v>
      </c>
      <c r="B385" s="9" t="s">
        <v>3852</v>
      </c>
      <c r="C385" s="9">
        <v>369.0</v>
      </c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>
      <c r="A386" s="9">
        <v>385.0</v>
      </c>
      <c r="B386" s="9" t="s">
        <v>3853</v>
      </c>
      <c r="C386" s="9">
        <v>369.0</v>
      </c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>
      <c r="A387" s="9">
        <v>386.0</v>
      </c>
      <c r="B387" s="9" t="s">
        <v>3854</v>
      </c>
      <c r="C387" s="9">
        <v>369.0</v>
      </c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>
      <c r="A388" s="9">
        <v>387.0</v>
      </c>
      <c r="B388" s="9" t="s">
        <v>3855</v>
      </c>
      <c r="C388" s="9">
        <v>369.0</v>
      </c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>
      <c r="A389" s="9">
        <v>388.0</v>
      </c>
      <c r="B389" s="9" t="s">
        <v>3856</v>
      </c>
      <c r="C389" s="9">
        <v>369.0</v>
      </c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>
      <c r="A390" s="9">
        <v>389.0</v>
      </c>
      <c r="B390" s="9" t="s">
        <v>3857</v>
      </c>
      <c r="C390" s="9">
        <v>369.0</v>
      </c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>
      <c r="A391" s="9">
        <v>390.0</v>
      </c>
      <c r="B391" s="9" t="s">
        <v>3858</v>
      </c>
      <c r="C391" s="9">
        <v>369.0</v>
      </c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>
      <c r="A392" s="9">
        <v>391.0</v>
      </c>
      <c r="B392" s="9" t="s">
        <v>3859</v>
      </c>
      <c r="C392" s="9">
        <v>369.0</v>
      </c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>
      <c r="A393" s="9">
        <v>392.0</v>
      </c>
      <c r="B393" s="9" t="s">
        <v>3860</v>
      </c>
      <c r="C393" s="9">
        <v>369.0</v>
      </c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>
      <c r="A394" s="9">
        <v>393.0</v>
      </c>
      <c r="B394" s="9" t="s">
        <v>3861</v>
      </c>
      <c r="C394" s="9">
        <v>369.0</v>
      </c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>
      <c r="A395" s="9">
        <v>394.0</v>
      </c>
      <c r="B395" s="9" t="s">
        <v>3862</v>
      </c>
      <c r="C395" s="9">
        <v>369.0</v>
      </c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>
      <c r="A396" s="9">
        <v>395.0</v>
      </c>
      <c r="B396" s="9" t="s">
        <v>3863</v>
      </c>
      <c r="C396" s="9">
        <v>369.0</v>
      </c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>
      <c r="A397" s="9">
        <v>396.0</v>
      </c>
      <c r="B397" s="9" t="s">
        <v>3864</v>
      </c>
      <c r="C397" s="9">
        <v>369.0</v>
      </c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>
      <c r="A398" s="9">
        <v>397.0</v>
      </c>
      <c r="B398" s="9" t="s">
        <v>3865</v>
      </c>
      <c r="C398" s="9">
        <v>369.0</v>
      </c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>
      <c r="A399" s="9">
        <v>398.0</v>
      </c>
      <c r="B399" s="9" t="s">
        <v>3866</v>
      </c>
      <c r="C399" s="9">
        <v>369.0</v>
      </c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>
      <c r="A400" s="9">
        <v>399.0</v>
      </c>
      <c r="B400" s="9" t="s">
        <v>3867</v>
      </c>
      <c r="C400" s="9">
        <v>369.0</v>
      </c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>
      <c r="A401" s="9">
        <v>400.0</v>
      </c>
      <c r="B401" s="9" t="s">
        <v>3868</v>
      </c>
      <c r="C401" s="9">
        <v>369.0</v>
      </c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>
      <c r="A402" s="9">
        <v>401.0</v>
      </c>
      <c r="B402" s="9" t="s">
        <v>3869</v>
      </c>
      <c r="C402" s="9">
        <v>369.0</v>
      </c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>
      <c r="A403" s="9">
        <v>402.0</v>
      </c>
      <c r="B403" s="9" t="s">
        <v>3870</v>
      </c>
      <c r="C403" s="9">
        <v>369.0</v>
      </c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>
      <c r="A404" s="9">
        <v>403.0</v>
      </c>
      <c r="B404" s="9" t="s">
        <v>3871</v>
      </c>
      <c r="C404" s="9">
        <v>369.0</v>
      </c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>
      <c r="A405" s="9">
        <v>404.0</v>
      </c>
      <c r="B405" s="9" t="s">
        <v>3872</v>
      </c>
      <c r="C405" s="9">
        <v>369.0</v>
      </c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>
      <c r="A406" s="9">
        <v>405.0</v>
      </c>
      <c r="B406" s="9" t="s">
        <v>3873</v>
      </c>
      <c r="C406" s="9">
        <v>369.0</v>
      </c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>
      <c r="A407" s="9">
        <v>406.0</v>
      </c>
      <c r="B407" s="9" t="s">
        <v>3874</v>
      </c>
      <c r="C407" s="9">
        <v>369.0</v>
      </c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>
      <c r="A408" s="9">
        <v>407.0</v>
      </c>
      <c r="B408" s="9" t="s">
        <v>3875</v>
      </c>
      <c r="C408" s="9">
        <v>369.0</v>
      </c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>
      <c r="A409" s="9">
        <v>408.0</v>
      </c>
      <c r="B409" s="9" t="s">
        <v>3876</v>
      </c>
      <c r="C409" s="9">
        <v>369.0</v>
      </c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>
      <c r="A410" s="9">
        <v>409.0</v>
      </c>
      <c r="B410" s="9" t="s">
        <v>3877</v>
      </c>
      <c r="C410" s="9">
        <v>369.0</v>
      </c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>
      <c r="A411" s="9">
        <v>410.0</v>
      </c>
      <c r="B411" s="9" t="s">
        <v>3878</v>
      </c>
      <c r="C411" s="9">
        <v>369.0</v>
      </c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>
      <c r="A412" s="9">
        <v>411.0</v>
      </c>
      <c r="B412" s="9" t="s">
        <v>3879</v>
      </c>
      <c r="C412" s="9">
        <v>369.0</v>
      </c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>
      <c r="A413" s="9">
        <v>412.0</v>
      </c>
      <c r="B413" s="9" t="s">
        <v>3880</v>
      </c>
      <c r="C413" s="9">
        <v>369.0</v>
      </c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>
      <c r="A414" s="9">
        <v>413.0</v>
      </c>
      <c r="B414" s="9" t="s">
        <v>3881</v>
      </c>
      <c r="C414" s="9">
        <v>369.0</v>
      </c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>
      <c r="A415" s="9">
        <v>414.0</v>
      </c>
      <c r="B415" s="9" t="s">
        <v>3882</v>
      </c>
      <c r="C415" s="9">
        <v>369.0</v>
      </c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>
      <c r="A416" s="9">
        <v>415.0</v>
      </c>
      <c r="B416" s="9" t="s">
        <v>3883</v>
      </c>
      <c r="C416" s="9">
        <v>369.0</v>
      </c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>
      <c r="A417" s="9">
        <v>416.0</v>
      </c>
      <c r="B417" s="9" t="s">
        <v>3884</v>
      </c>
      <c r="C417" s="9">
        <v>369.0</v>
      </c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>
      <c r="A418" s="9">
        <v>417.0</v>
      </c>
      <c r="B418" s="9" t="s">
        <v>3885</v>
      </c>
      <c r="C418" s="9">
        <v>369.0</v>
      </c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>
      <c r="A419" s="9">
        <v>418.0</v>
      </c>
      <c r="B419" s="9" t="s">
        <v>3886</v>
      </c>
      <c r="C419" s="9">
        <v>369.0</v>
      </c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>
      <c r="A420" s="9">
        <v>419.0</v>
      </c>
      <c r="B420" s="9" t="s">
        <v>3887</v>
      </c>
      <c r="C420" s="9">
        <v>369.0</v>
      </c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>
      <c r="A421" s="9">
        <v>420.0</v>
      </c>
      <c r="B421" s="9" t="s">
        <v>3888</v>
      </c>
      <c r="C421" s="9">
        <v>369.0</v>
      </c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>
      <c r="A422" s="9">
        <v>421.0</v>
      </c>
      <c r="B422" s="9" t="s">
        <v>3889</v>
      </c>
      <c r="C422" s="9">
        <v>369.0</v>
      </c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>
      <c r="A423" s="9">
        <v>422.0</v>
      </c>
      <c r="B423" s="9" t="s">
        <v>3890</v>
      </c>
      <c r="C423" s="9">
        <v>369.0</v>
      </c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>
      <c r="A424" s="9">
        <v>423.0</v>
      </c>
      <c r="B424" s="9" t="s">
        <v>3891</v>
      </c>
      <c r="C424" s="9">
        <v>369.0</v>
      </c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>
      <c r="A425" s="9">
        <v>424.0</v>
      </c>
      <c r="B425" s="9" t="s">
        <v>3892</v>
      </c>
      <c r="C425" s="9">
        <v>369.0</v>
      </c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>
      <c r="A426" s="9">
        <v>425.0</v>
      </c>
      <c r="B426" s="9" t="s">
        <v>3893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>
      <c r="A427" s="9">
        <v>426.0</v>
      </c>
      <c r="B427" s="9" t="s">
        <v>3894</v>
      </c>
      <c r="C427" s="9">
        <v>425.0</v>
      </c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>
      <c r="A428" s="9">
        <v>427.0</v>
      </c>
      <c r="B428" s="9" t="s">
        <v>3895</v>
      </c>
      <c r="C428" s="9">
        <v>425.0</v>
      </c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>
      <c r="A429" s="9">
        <v>428.0</v>
      </c>
      <c r="B429" s="9" t="s">
        <v>3896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>
      <c r="A430" s="9">
        <v>429.0</v>
      </c>
      <c r="B430" s="9" t="s">
        <v>3897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>
      <c r="A431" s="9">
        <v>430.0</v>
      </c>
      <c r="B431" s="9" t="s">
        <v>3898</v>
      </c>
      <c r="C431" s="9">
        <v>429.0</v>
      </c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>
      <c r="A432" s="9">
        <v>431.0</v>
      </c>
      <c r="B432" s="9" t="s">
        <v>3899</v>
      </c>
      <c r="C432" s="9">
        <v>429.0</v>
      </c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>
      <c r="A433" s="9">
        <v>432.0</v>
      </c>
      <c r="B433" s="9" t="s">
        <v>3900</v>
      </c>
      <c r="C433" s="9">
        <v>429.0</v>
      </c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>
      <c r="A434" s="9">
        <v>433.0</v>
      </c>
      <c r="B434" s="9" t="s">
        <v>3901</v>
      </c>
      <c r="C434" s="9">
        <v>429.0</v>
      </c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>
      <c r="A435" s="9">
        <v>434.0</v>
      </c>
      <c r="B435" s="9" t="s">
        <v>3902</v>
      </c>
      <c r="C435" s="9">
        <v>429.0</v>
      </c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>
      <c r="A436" s="9">
        <v>435.0</v>
      </c>
      <c r="B436" s="9" t="s">
        <v>3903</v>
      </c>
      <c r="C436" s="9">
        <v>429.0</v>
      </c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>
      <c r="A437" s="9">
        <v>436.0</v>
      </c>
      <c r="B437" s="9" t="s">
        <v>3904</v>
      </c>
      <c r="C437" s="9">
        <v>429.0</v>
      </c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>
      <c r="A438" s="9">
        <v>437.0</v>
      </c>
      <c r="B438" s="9" t="s">
        <v>3905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>
      <c r="A439" s="9">
        <v>438.0</v>
      </c>
      <c r="B439" s="9" t="s">
        <v>3906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>
      <c r="A440" s="9">
        <v>439.0</v>
      </c>
      <c r="B440" s="9" t="s">
        <v>3907</v>
      </c>
      <c r="C440" s="9">
        <v>438.0</v>
      </c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>
      <c r="A441" s="9">
        <v>440.0</v>
      </c>
      <c r="B441" s="9" t="s">
        <v>3908</v>
      </c>
      <c r="C441" s="9">
        <v>438.0</v>
      </c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>
      <c r="A442" s="9">
        <v>441.0</v>
      </c>
      <c r="B442" s="9" t="s">
        <v>3909</v>
      </c>
      <c r="C442" s="9">
        <v>438.0</v>
      </c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>
      <c r="A443" s="9">
        <v>442.0</v>
      </c>
      <c r="B443" s="9" t="s">
        <v>3910</v>
      </c>
      <c r="C443" s="9">
        <v>438.0</v>
      </c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>
      <c r="A444" s="9">
        <v>443.0</v>
      </c>
      <c r="B444" s="9" t="s">
        <v>3911</v>
      </c>
      <c r="C444" s="9">
        <v>438.0</v>
      </c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>
      <c r="A445" s="9">
        <v>444.0</v>
      </c>
      <c r="B445" s="9" t="s">
        <v>3912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>
      <c r="A446" s="9">
        <v>445.0</v>
      </c>
      <c r="B446" s="9" t="s">
        <v>3913</v>
      </c>
      <c r="C446" s="9">
        <v>444.0</v>
      </c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>
      <c r="A447" s="9">
        <v>446.0</v>
      </c>
      <c r="B447" s="9" t="s">
        <v>3914</v>
      </c>
      <c r="C447" s="9">
        <v>444.0</v>
      </c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>
      <c r="A448" s="9">
        <v>447.0</v>
      </c>
      <c r="B448" s="9" t="s">
        <v>3915</v>
      </c>
      <c r="C448" s="9">
        <v>444.0</v>
      </c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>
      <c r="A449" s="9">
        <v>448.0</v>
      </c>
      <c r="B449" s="9" t="s">
        <v>3916</v>
      </c>
      <c r="C449" s="9">
        <v>444.0</v>
      </c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>
      <c r="A450" s="9">
        <v>449.0</v>
      </c>
      <c r="B450" s="9" t="s">
        <v>3917</v>
      </c>
      <c r="C450" s="9">
        <v>444.0</v>
      </c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>
      <c r="A451" s="9">
        <v>450.0</v>
      </c>
      <c r="B451" s="9" t="s">
        <v>3918</v>
      </c>
      <c r="C451" s="9">
        <v>444.0</v>
      </c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>
      <c r="A452" s="9">
        <v>451.0</v>
      </c>
      <c r="B452" s="9" t="s">
        <v>3919</v>
      </c>
      <c r="C452" s="9">
        <v>444.0</v>
      </c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>
      <c r="A453" s="9">
        <v>452.0</v>
      </c>
      <c r="B453" s="9" t="s">
        <v>3920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>
      <c r="A454" s="9">
        <v>453.0</v>
      </c>
      <c r="B454" s="9" t="s">
        <v>3921</v>
      </c>
      <c r="C454" s="9">
        <v>452.0</v>
      </c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>
      <c r="A455" s="9">
        <v>454.0</v>
      </c>
      <c r="B455" s="9" t="s">
        <v>3922</v>
      </c>
      <c r="C455" s="9">
        <v>452.0</v>
      </c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>
      <c r="A456" s="9">
        <v>455.0</v>
      </c>
      <c r="B456" s="9" t="s">
        <v>3923</v>
      </c>
      <c r="C456" s="9">
        <v>452.0</v>
      </c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>
      <c r="A457" s="9">
        <v>456.0</v>
      </c>
      <c r="B457" s="9" t="s">
        <v>3924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>
      <c r="A458" s="9">
        <v>457.0</v>
      </c>
      <c r="B458" s="9" t="s">
        <v>3925</v>
      </c>
      <c r="C458" s="9">
        <v>456.0</v>
      </c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>
      <c r="A459" s="9">
        <v>458.0</v>
      </c>
      <c r="B459" s="9" t="s">
        <v>3926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>
      <c r="A460" s="9">
        <v>459.0</v>
      </c>
      <c r="B460" s="9" t="s">
        <v>3927</v>
      </c>
      <c r="C460" s="9">
        <v>458.0</v>
      </c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>
      <c r="A461" s="9">
        <v>460.0</v>
      </c>
      <c r="B461" s="9" t="s">
        <v>3928</v>
      </c>
      <c r="C461" s="9">
        <v>458.0</v>
      </c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>
      <c r="A462" s="9">
        <v>461.0</v>
      </c>
      <c r="B462" s="9" t="s">
        <v>3929</v>
      </c>
      <c r="C462" s="9">
        <v>458.0</v>
      </c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>
      <c r="A463" s="9">
        <v>462.0</v>
      </c>
      <c r="B463" s="9" t="s">
        <v>3930</v>
      </c>
      <c r="C463" s="9">
        <v>458.0</v>
      </c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>
      <c r="A464" s="9">
        <v>463.0</v>
      </c>
      <c r="B464" s="9" t="s">
        <v>3931</v>
      </c>
      <c r="C464" s="9">
        <v>458.0</v>
      </c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>
      <c r="A465" s="9">
        <v>464.0</v>
      </c>
      <c r="B465" s="9" t="s">
        <v>3932</v>
      </c>
      <c r="C465" s="9">
        <v>458.0</v>
      </c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>
      <c r="A466" s="9">
        <v>465.0</v>
      </c>
      <c r="B466" s="9" t="s">
        <v>3933</v>
      </c>
      <c r="C466" s="9">
        <v>458.0</v>
      </c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>
      <c r="A467" s="9">
        <v>466.0</v>
      </c>
      <c r="B467" s="9" t="s">
        <v>3934</v>
      </c>
      <c r="C467" s="9">
        <v>458.0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>
      <c r="A468" s="9">
        <v>467.0</v>
      </c>
      <c r="B468" s="9" t="s">
        <v>3935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>
      <c r="A469" s="9">
        <v>468.0</v>
      </c>
      <c r="B469" s="9" t="s">
        <v>3936</v>
      </c>
      <c r="C469" s="9">
        <v>467.0</v>
      </c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>
      <c r="A470" s="9">
        <v>469.0</v>
      </c>
      <c r="B470" s="9" t="s">
        <v>3937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>
      <c r="A471" s="9">
        <v>470.0</v>
      </c>
      <c r="B471" s="9" t="s">
        <v>3938</v>
      </c>
      <c r="C471" s="9">
        <v>469.0</v>
      </c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>
      <c r="A472" s="9">
        <v>471.0</v>
      </c>
      <c r="B472" s="9" t="s">
        <v>3939</v>
      </c>
      <c r="C472" s="9">
        <v>469.0</v>
      </c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>
      <c r="A473" s="9">
        <v>472.0</v>
      </c>
      <c r="B473" s="9" t="s">
        <v>3940</v>
      </c>
      <c r="C473" s="9">
        <v>469.0</v>
      </c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>
      <c r="A474" s="9">
        <v>473.0</v>
      </c>
      <c r="B474" s="9" t="s">
        <v>3941</v>
      </c>
      <c r="C474" s="9">
        <v>469.0</v>
      </c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>
      <c r="A475" s="9">
        <v>474.0</v>
      </c>
      <c r="B475" s="9" t="s">
        <v>3942</v>
      </c>
      <c r="C475" s="9">
        <v>469.0</v>
      </c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>
      <c r="A476" s="9">
        <v>475.0</v>
      </c>
      <c r="B476" s="9" t="s">
        <v>3943</v>
      </c>
      <c r="C476" s="9">
        <v>469.0</v>
      </c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>
      <c r="A477" s="9">
        <v>476.0</v>
      </c>
      <c r="B477" s="9" t="s">
        <v>3944</v>
      </c>
      <c r="C477" s="9">
        <v>469.0</v>
      </c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>
      <c r="A478" s="9">
        <v>477.0</v>
      </c>
      <c r="B478" s="9" t="s">
        <v>3945</v>
      </c>
      <c r="C478" s="9">
        <v>469.0</v>
      </c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>
      <c r="A479" s="9">
        <v>478.0</v>
      </c>
      <c r="B479" s="9" t="s">
        <v>3946</v>
      </c>
      <c r="C479" s="9">
        <v>469.0</v>
      </c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>
      <c r="A480" s="9">
        <v>479.0</v>
      </c>
      <c r="B480" s="9" t="s">
        <v>3947</v>
      </c>
      <c r="C480" s="9">
        <v>469.0</v>
      </c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>
      <c r="A481" s="9">
        <v>480.0</v>
      </c>
      <c r="B481" s="9" t="s">
        <v>3948</v>
      </c>
      <c r="C481" s="9">
        <v>469.0</v>
      </c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>
      <c r="A482" s="9">
        <v>481.0</v>
      </c>
      <c r="B482" s="9" t="s">
        <v>3949</v>
      </c>
      <c r="C482" s="9">
        <v>469.0</v>
      </c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>
      <c r="A483" s="9">
        <v>482.0</v>
      </c>
      <c r="B483" s="9" t="s">
        <v>3950</v>
      </c>
      <c r="C483" s="9">
        <v>469.0</v>
      </c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>
      <c r="A484" s="9">
        <v>483.0</v>
      </c>
      <c r="B484" s="9" t="s">
        <v>3951</v>
      </c>
      <c r="C484" s="9">
        <v>469.0</v>
      </c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>
      <c r="A485" s="9">
        <v>484.0</v>
      </c>
      <c r="B485" s="9" t="s">
        <v>3952</v>
      </c>
      <c r="C485" s="9">
        <v>469.0</v>
      </c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>
      <c r="A486" s="9">
        <v>485.0</v>
      </c>
      <c r="B486" s="9" t="s">
        <v>3953</v>
      </c>
      <c r="C486" s="9">
        <v>469.0</v>
      </c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>
      <c r="A487" s="9">
        <v>486.0</v>
      </c>
      <c r="B487" s="9" t="s">
        <v>3954</v>
      </c>
      <c r="C487" s="9">
        <v>469.0</v>
      </c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>
      <c r="A488" s="9">
        <v>487.0</v>
      </c>
      <c r="B488" s="9" t="s">
        <v>3955</v>
      </c>
      <c r="C488" s="9">
        <v>469.0</v>
      </c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>
      <c r="A489" s="9">
        <v>488.0</v>
      </c>
      <c r="B489" s="9" t="s">
        <v>3956</v>
      </c>
      <c r="C489" s="9">
        <v>469.0</v>
      </c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>
      <c r="A490" s="9">
        <v>489.0</v>
      </c>
      <c r="B490" s="9" t="s">
        <v>3957</v>
      </c>
      <c r="C490" s="9">
        <v>469.0</v>
      </c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>
      <c r="A491" s="9">
        <v>490.0</v>
      </c>
      <c r="B491" s="9" t="s">
        <v>3958</v>
      </c>
      <c r="C491" s="9">
        <v>469.0</v>
      </c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>
      <c r="A492" s="9">
        <v>491.0</v>
      </c>
      <c r="B492" s="9" t="s">
        <v>3959</v>
      </c>
      <c r="C492" s="9">
        <v>469.0</v>
      </c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>
      <c r="A493" s="9">
        <v>492.0</v>
      </c>
      <c r="B493" s="9" t="s">
        <v>3960</v>
      </c>
      <c r="C493" s="9">
        <v>469.0</v>
      </c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>
      <c r="A494" s="9">
        <v>493.0</v>
      </c>
      <c r="B494" s="9" t="s">
        <v>3961</v>
      </c>
      <c r="C494" s="9">
        <v>469.0</v>
      </c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>
      <c r="A495" s="9">
        <v>494.0</v>
      </c>
      <c r="B495" s="9" t="s">
        <v>3962</v>
      </c>
      <c r="C495" s="9">
        <v>469.0</v>
      </c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>
      <c r="A496" s="9">
        <v>495.0</v>
      </c>
      <c r="B496" s="9" t="s">
        <v>3963</v>
      </c>
      <c r="C496" s="9">
        <v>469.0</v>
      </c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>
      <c r="A497" s="9">
        <v>496.0</v>
      </c>
      <c r="B497" s="9" t="s">
        <v>3964</v>
      </c>
      <c r="C497" s="9">
        <v>469.0</v>
      </c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>
      <c r="A498" s="9">
        <v>497.0</v>
      </c>
      <c r="B498" s="9" t="s">
        <v>3965</v>
      </c>
      <c r="C498" s="9">
        <v>469.0</v>
      </c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>
      <c r="A499" s="9">
        <v>498.0</v>
      </c>
      <c r="B499" s="9" t="s">
        <v>3966</v>
      </c>
      <c r="C499" s="9">
        <v>469.0</v>
      </c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>
      <c r="A500" s="9">
        <v>499.0</v>
      </c>
      <c r="B500" s="9" t="s">
        <v>3967</v>
      </c>
      <c r="C500" s="9">
        <v>469.0</v>
      </c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>
      <c r="A501" s="9">
        <v>500.0</v>
      </c>
      <c r="B501" s="9" t="s">
        <v>3968</v>
      </c>
      <c r="C501" s="9">
        <v>469.0</v>
      </c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>
      <c r="A502" s="9">
        <v>501.0</v>
      </c>
      <c r="B502" s="9" t="s">
        <v>3969</v>
      </c>
      <c r="C502" s="9">
        <v>469.0</v>
      </c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>
      <c r="A503" s="9">
        <v>502.0</v>
      </c>
      <c r="B503" s="9" t="s">
        <v>3970</v>
      </c>
      <c r="C503" s="9">
        <v>469.0</v>
      </c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>
      <c r="A504" s="9">
        <v>503.0</v>
      </c>
      <c r="B504" s="9" t="s">
        <v>3971</v>
      </c>
      <c r="C504" s="9">
        <v>469.0</v>
      </c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>
      <c r="A505" s="9">
        <v>504.0</v>
      </c>
      <c r="B505" s="9" t="s">
        <v>3972</v>
      </c>
      <c r="C505" s="9">
        <v>469.0</v>
      </c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>
      <c r="A506" s="9">
        <v>505.0</v>
      </c>
      <c r="B506" s="9" t="s">
        <v>3973</v>
      </c>
      <c r="C506" s="9">
        <v>469.0</v>
      </c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>
      <c r="A507" s="9">
        <v>506.0</v>
      </c>
      <c r="B507" s="9" t="s">
        <v>3974</v>
      </c>
      <c r="C507" s="9">
        <v>469.0</v>
      </c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>
      <c r="A508" s="9">
        <v>507.0</v>
      </c>
      <c r="B508" s="9" t="s">
        <v>3975</v>
      </c>
      <c r="C508" s="9">
        <v>469.0</v>
      </c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>
      <c r="A509" s="9">
        <v>508.0</v>
      </c>
      <c r="B509" s="9" t="s">
        <v>3976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>
      <c r="A510" s="9">
        <v>509.0</v>
      </c>
      <c r="B510" s="9" t="s">
        <v>3977</v>
      </c>
      <c r="C510" s="9">
        <v>508.0</v>
      </c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>
      <c r="A511" s="9">
        <v>510.0</v>
      </c>
      <c r="B511" s="9" t="s">
        <v>3978</v>
      </c>
      <c r="C511" s="9">
        <v>508.0</v>
      </c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>
      <c r="A512" s="9">
        <v>511.0</v>
      </c>
      <c r="B512" s="9" t="s">
        <v>3979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>
      <c r="A513" s="9">
        <v>512.0</v>
      </c>
      <c r="B513" s="9" t="s">
        <v>3980</v>
      </c>
      <c r="C513" s="9">
        <v>511.0</v>
      </c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>
      <c r="A514" s="9">
        <v>513.0</v>
      </c>
      <c r="B514" s="9" t="s">
        <v>3981</v>
      </c>
      <c r="C514" s="9">
        <v>511.0</v>
      </c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>
      <c r="A515" s="9">
        <v>514.0</v>
      </c>
      <c r="B515" s="9" t="s">
        <v>3982</v>
      </c>
      <c r="C515" s="9">
        <v>511.0</v>
      </c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>
      <c r="A516" s="9">
        <v>515.0</v>
      </c>
      <c r="B516" s="9" t="s">
        <v>3983</v>
      </c>
      <c r="C516" s="9">
        <v>511.0</v>
      </c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>
      <c r="A517" s="9">
        <v>516.0</v>
      </c>
      <c r="B517" s="9" t="s">
        <v>3984</v>
      </c>
      <c r="C517" s="9">
        <v>511.0</v>
      </c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>
      <c r="A518" s="9">
        <v>517.0</v>
      </c>
      <c r="B518" s="9" t="s">
        <v>3985</v>
      </c>
      <c r="C518" s="9">
        <v>511.0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>
      <c r="A519" s="9">
        <v>518.0</v>
      </c>
      <c r="B519" s="9" t="s">
        <v>3986</v>
      </c>
      <c r="C519" s="9">
        <v>511.0</v>
      </c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>
      <c r="A520" s="9">
        <v>519.0</v>
      </c>
      <c r="B520" s="9" t="s">
        <v>3987</v>
      </c>
      <c r="C520" s="9">
        <v>511.0</v>
      </c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>
      <c r="A521" s="9">
        <v>520.0</v>
      </c>
      <c r="B521" s="9" t="s">
        <v>3988</v>
      </c>
      <c r="C521" s="9">
        <v>511.0</v>
      </c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>
      <c r="A522" s="9">
        <v>521.0</v>
      </c>
      <c r="B522" s="9" t="s">
        <v>3989</v>
      </c>
      <c r="C522" s="9">
        <v>511.0</v>
      </c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>
      <c r="A523" s="9">
        <v>522.0</v>
      </c>
      <c r="B523" s="9" t="s">
        <v>3990</v>
      </c>
      <c r="C523" s="9">
        <v>511.0</v>
      </c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>
      <c r="A524" s="9">
        <v>523.0</v>
      </c>
      <c r="B524" s="9" t="s">
        <v>3991</v>
      </c>
      <c r="C524" s="9">
        <v>511.0</v>
      </c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>
      <c r="A525" s="9">
        <v>524.0</v>
      </c>
      <c r="B525" s="9" t="s">
        <v>3992</v>
      </c>
      <c r="C525" s="9">
        <v>511.0</v>
      </c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>
      <c r="A526" s="9">
        <v>525.0</v>
      </c>
      <c r="B526" s="9" t="s">
        <v>3993</v>
      </c>
      <c r="C526" s="9">
        <v>511.0</v>
      </c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>
      <c r="A527" s="9">
        <v>526.0</v>
      </c>
      <c r="B527" s="9" t="s">
        <v>3994</v>
      </c>
      <c r="C527" s="9">
        <v>511.0</v>
      </c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>
      <c r="A528" s="9">
        <v>527.0</v>
      </c>
      <c r="B528" s="9" t="s">
        <v>3995</v>
      </c>
      <c r="C528" s="9">
        <v>511.0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>
      <c r="A529" s="9">
        <v>528.0</v>
      </c>
      <c r="B529" s="9" t="s">
        <v>3996</v>
      </c>
      <c r="C529" s="9">
        <v>511.0</v>
      </c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>
      <c r="A530" s="9">
        <v>529.0</v>
      </c>
      <c r="B530" s="9" t="s">
        <v>3997</v>
      </c>
      <c r="C530" s="9">
        <v>511.0</v>
      </c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>
      <c r="A531" s="9">
        <v>530.0</v>
      </c>
      <c r="B531" s="9" t="s">
        <v>3998</v>
      </c>
      <c r="C531" s="9">
        <v>511.0</v>
      </c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>
      <c r="A532" s="9">
        <v>531.0</v>
      </c>
      <c r="B532" s="9" t="s">
        <v>3999</v>
      </c>
      <c r="C532" s="9">
        <v>511.0</v>
      </c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>
      <c r="A533" s="9">
        <v>532.0</v>
      </c>
      <c r="B533" s="9" t="s">
        <v>4000</v>
      </c>
      <c r="C533" s="9">
        <v>511.0</v>
      </c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>
      <c r="A534" s="9">
        <v>533.0</v>
      </c>
      <c r="B534" s="9" t="s">
        <v>4001</v>
      </c>
      <c r="C534" s="9">
        <v>511.0</v>
      </c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>
      <c r="A535" s="9">
        <v>534.0</v>
      </c>
      <c r="B535" s="9" t="s">
        <v>4002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>
      <c r="A536" s="9">
        <v>535.0</v>
      </c>
      <c r="B536" s="9" t="s">
        <v>4003</v>
      </c>
      <c r="C536" s="9">
        <v>534.0</v>
      </c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>
      <c r="A537" s="9">
        <v>536.0</v>
      </c>
      <c r="B537" s="9" t="s">
        <v>4004</v>
      </c>
      <c r="C537" s="9">
        <v>534.0</v>
      </c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>
      <c r="A538" s="9">
        <v>537.0</v>
      </c>
      <c r="B538" s="9" t="s">
        <v>4005</v>
      </c>
      <c r="C538" s="9">
        <v>534.0</v>
      </c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>
      <c r="A539" s="9">
        <v>538.0</v>
      </c>
      <c r="B539" s="9" t="s">
        <v>4006</v>
      </c>
      <c r="C539" s="9">
        <v>534.0</v>
      </c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>
      <c r="A540" s="9">
        <v>539.0</v>
      </c>
      <c r="B540" s="9" t="s">
        <v>4007</v>
      </c>
      <c r="C540" s="9">
        <v>534.0</v>
      </c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>
      <c r="A541" s="9">
        <v>540.0</v>
      </c>
      <c r="B541" s="9" t="s">
        <v>4008</v>
      </c>
      <c r="C541" s="9">
        <v>534.0</v>
      </c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>
      <c r="A542" s="9">
        <v>541.0</v>
      </c>
      <c r="B542" s="9" t="s">
        <v>4009</v>
      </c>
      <c r="C542" s="9">
        <v>534.0</v>
      </c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>
      <c r="A543" s="9">
        <v>542.0</v>
      </c>
      <c r="B543" s="9" t="s">
        <v>4010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>
      <c r="A544" s="9">
        <v>543.0</v>
      </c>
      <c r="B544" s="9" t="s">
        <v>4011</v>
      </c>
      <c r="C544" s="9">
        <v>542.0</v>
      </c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>
      <c r="A545" s="9">
        <v>544.0</v>
      </c>
      <c r="B545" s="9" t="s">
        <v>4012</v>
      </c>
      <c r="C545" s="9">
        <v>542.0</v>
      </c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>
      <c r="A546" s="9">
        <v>545.0</v>
      </c>
      <c r="B546" s="9" t="s">
        <v>4013</v>
      </c>
      <c r="C546" s="9">
        <v>542.0</v>
      </c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>
      <c r="A547" s="9">
        <v>546.0</v>
      </c>
      <c r="B547" s="9" t="s">
        <v>4014</v>
      </c>
      <c r="C547" s="9">
        <v>542.0</v>
      </c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>
      <c r="A548" s="9">
        <v>547.0</v>
      </c>
      <c r="B548" s="9" t="s">
        <v>4015</v>
      </c>
      <c r="C548" s="9">
        <v>542.0</v>
      </c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>
      <c r="A549" s="9">
        <v>548.0</v>
      </c>
      <c r="B549" s="9" t="s">
        <v>4016</v>
      </c>
      <c r="C549" s="9">
        <v>542.0</v>
      </c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>
      <c r="A550" s="9">
        <v>549.0</v>
      </c>
      <c r="B550" s="9" t="s">
        <v>4017</v>
      </c>
      <c r="C550" s="9">
        <v>542.0</v>
      </c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>
      <c r="A551" s="9">
        <v>550.0</v>
      </c>
      <c r="B551" s="9" t="s">
        <v>4018</v>
      </c>
      <c r="C551" s="9">
        <v>542.0</v>
      </c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>
      <c r="A552" s="9">
        <v>551.0</v>
      </c>
      <c r="B552" s="9" t="s">
        <v>4019</v>
      </c>
      <c r="C552" s="9">
        <v>542.0</v>
      </c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>
      <c r="A553" s="9">
        <v>552.0</v>
      </c>
      <c r="B553" s="9" t="s">
        <v>4020</v>
      </c>
      <c r="C553" s="9">
        <v>542.0</v>
      </c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>
      <c r="A554" s="9">
        <v>553.0</v>
      </c>
      <c r="B554" s="9" t="s">
        <v>4021</v>
      </c>
      <c r="C554" s="9">
        <v>542.0</v>
      </c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>
      <c r="A555" s="9">
        <v>554.0</v>
      </c>
      <c r="B555" s="9" t="s">
        <v>4022</v>
      </c>
      <c r="C555" s="9">
        <v>542.0</v>
      </c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>
      <c r="A556" s="9">
        <v>555.0</v>
      </c>
      <c r="B556" s="9" t="s">
        <v>4023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>
      <c r="A557" s="9">
        <v>556.0</v>
      </c>
      <c r="B557" s="9" t="s">
        <v>4024</v>
      </c>
      <c r="C557" s="9">
        <v>555.0</v>
      </c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>
      <c r="A558" s="9">
        <v>557.0</v>
      </c>
      <c r="B558" s="9" t="s">
        <v>4025</v>
      </c>
      <c r="C558" s="9">
        <v>555.0</v>
      </c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>
      <c r="A559" s="9">
        <v>558.0</v>
      </c>
      <c r="B559" s="9" t="s">
        <v>4026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>
      <c r="A560" s="9">
        <v>559.0</v>
      </c>
      <c r="B560" s="9" t="s">
        <v>4027</v>
      </c>
      <c r="C560" s="9">
        <v>558.0</v>
      </c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>
      <c r="A561" s="9">
        <v>560.0</v>
      </c>
      <c r="B561" s="9" t="s">
        <v>4028</v>
      </c>
      <c r="C561" s="9">
        <v>558.0</v>
      </c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>
      <c r="A562" s="9">
        <v>561.0</v>
      </c>
      <c r="B562" s="9" t="s">
        <v>4029</v>
      </c>
      <c r="C562" s="9">
        <v>558.0</v>
      </c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>
      <c r="A563" s="9">
        <v>562.0</v>
      </c>
      <c r="B563" s="9" t="s">
        <v>4030</v>
      </c>
      <c r="C563" s="9">
        <v>558.0</v>
      </c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>
      <c r="A564" s="9">
        <v>563.0</v>
      </c>
      <c r="B564" s="9" t="s">
        <v>4031</v>
      </c>
      <c r="C564" s="9">
        <v>558.0</v>
      </c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>
      <c r="A565" s="9">
        <v>564.0</v>
      </c>
      <c r="B565" s="9" t="s">
        <v>4032</v>
      </c>
      <c r="C565" s="9">
        <v>558.0</v>
      </c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>
      <c r="A566" s="9">
        <v>565.0</v>
      </c>
      <c r="B566" s="9" t="s">
        <v>4033</v>
      </c>
      <c r="C566" s="9">
        <v>558.0</v>
      </c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>
      <c r="A567" s="9">
        <v>566.0</v>
      </c>
      <c r="B567" s="9" t="s">
        <v>4034</v>
      </c>
      <c r="C567" s="9">
        <v>558.0</v>
      </c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>
      <c r="A568" s="9">
        <v>567.0</v>
      </c>
      <c r="B568" s="9" t="s">
        <v>4035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>
      <c r="A569" s="9">
        <v>568.0</v>
      </c>
      <c r="B569" s="9" t="s">
        <v>4036</v>
      </c>
      <c r="C569" s="9">
        <v>567.0</v>
      </c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>
      <c r="A570" s="9">
        <v>569.0</v>
      </c>
      <c r="B570" s="9" t="s">
        <v>4037</v>
      </c>
      <c r="C570" s="9">
        <v>567.0</v>
      </c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>
      <c r="A571" s="9">
        <v>570.0</v>
      </c>
      <c r="B571" s="9" t="s">
        <v>4038</v>
      </c>
      <c r="C571" s="9">
        <v>567.0</v>
      </c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>
      <c r="A572" s="9">
        <v>571.0</v>
      </c>
      <c r="B572" s="9" t="s">
        <v>4039</v>
      </c>
      <c r="C572" s="9">
        <v>567.0</v>
      </c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>
      <c r="A573" s="9">
        <v>572.0</v>
      </c>
      <c r="B573" s="9" t="s">
        <v>4040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>
      <c r="A574" s="9">
        <v>573.0</v>
      </c>
      <c r="B574" s="9" t="s">
        <v>4041</v>
      </c>
      <c r="C574" s="9">
        <v>572.0</v>
      </c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>
      <c r="A575" s="9">
        <v>574.0</v>
      </c>
      <c r="B575" s="9" t="s">
        <v>4042</v>
      </c>
      <c r="C575" s="9">
        <v>572.0</v>
      </c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>
      <c r="A576" s="9">
        <v>575.0</v>
      </c>
      <c r="B576" s="9" t="s">
        <v>4043</v>
      </c>
      <c r="C576" s="9">
        <v>572.0</v>
      </c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>
      <c r="A577" s="9">
        <v>576.0</v>
      </c>
      <c r="B577" s="9" t="s">
        <v>4044</v>
      </c>
      <c r="C577" s="9">
        <v>572.0</v>
      </c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>
      <c r="A578" s="9">
        <v>577.0</v>
      </c>
      <c r="B578" s="9" t="s">
        <v>4045</v>
      </c>
      <c r="C578" s="9">
        <v>572.0</v>
      </c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>
      <c r="A579" s="9">
        <v>578.0</v>
      </c>
      <c r="B579" s="9" t="s">
        <v>4046</v>
      </c>
      <c r="C579" s="9">
        <v>572.0</v>
      </c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>
      <c r="A580" s="9">
        <v>579.0</v>
      </c>
      <c r="B580" s="9" t="s">
        <v>4047</v>
      </c>
      <c r="C580" s="9">
        <v>572.0</v>
      </c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>
      <c r="A581" s="9">
        <v>580.0</v>
      </c>
      <c r="B581" s="9" t="s">
        <v>4048</v>
      </c>
      <c r="C581" s="9">
        <v>572.0</v>
      </c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>
      <c r="A582" s="9">
        <v>581.0</v>
      </c>
      <c r="B582" s="9" t="s">
        <v>4049</v>
      </c>
      <c r="C582" s="9">
        <v>572.0</v>
      </c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>
      <c r="A583" s="9">
        <v>582.0</v>
      </c>
      <c r="B583" s="9" t="s">
        <v>4050</v>
      </c>
      <c r="C583" s="9">
        <v>572.0</v>
      </c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>
      <c r="A584" s="9">
        <v>583.0</v>
      </c>
      <c r="B584" s="9" t="s">
        <v>4051</v>
      </c>
      <c r="C584" s="9">
        <v>572.0</v>
      </c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>
      <c r="A585" s="9">
        <v>584.0</v>
      </c>
      <c r="B585" s="9" t="s">
        <v>4052</v>
      </c>
      <c r="C585" s="9">
        <v>572.0</v>
      </c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>
      <c r="A586" s="9">
        <v>585.0</v>
      </c>
      <c r="B586" s="9" t="s">
        <v>4053</v>
      </c>
      <c r="C586" s="9">
        <v>572.0</v>
      </c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>
      <c r="A587" s="9">
        <v>586.0</v>
      </c>
      <c r="B587" s="9" t="s">
        <v>4054</v>
      </c>
      <c r="C587" s="9">
        <v>572.0</v>
      </c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>
      <c r="A588" s="9">
        <v>587.0</v>
      </c>
      <c r="B588" s="9" t="s">
        <v>4055</v>
      </c>
      <c r="C588" s="9">
        <v>572.0</v>
      </c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>
      <c r="A589" s="9">
        <v>588.0</v>
      </c>
      <c r="B589" s="9" t="s">
        <v>4056</v>
      </c>
      <c r="C589" s="9">
        <v>572.0</v>
      </c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>
      <c r="A590" s="9">
        <v>589.0</v>
      </c>
      <c r="B590" s="9" t="s">
        <v>4057</v>
      </c>
      <c r="C590" s="9">
        <v>572.0</v>
      </c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>
      <c r="A591" s="9">
        <v>590.0</v>
      </c>
      <c r="B591" s="9" t="s">
        <v>4058</v>
      </c>
      <c r="C591" s="9">
        <v>572.0</v>
      </c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>
      <c r="A592" s="9">
        <v>591.0</v>
      </c>
      <c r="B592" s="9" t="s">
        <v>4059</v>
      </c>
      <c r="C592" s="9">
        <v>572.0</v>
      </c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>
      <c r="A593" s="9">
        <v>592.0</v>
      </c>
      <c r="B593" s="9" t="s">
        <v>4060</v>
      </c>
      <c r="C593" s="9">
        <v>572.0</v>
      </c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>
      <c r="A594" s="9">
        <v>593.0</v>
      </c>
      <c r="B594" s="9" t="s">
        <v>4061</v>
      </c>
      <c r="C594" s="9">
        <v>572.0</v>
      </c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>
      <c r="A595" s="9">
        <v>594.0</v>
      </c>
      <c r="B595" s="9" t="s">
        <v>4062</v>
      </c>
      <c r="C595" s="9">
        <v>572.0</v>
      </c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>
      <c r="A596" s="9">
        <v>595.0</v>
      </c>
      <c r="B596" s="9" t="s">
        <v>4063</v>
      </c>
      <c r="C596" s="9">
        <v>572.0</v>
      </c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>
      <c r="A597" s="9">
        <v>596.0</v>
      </c>
      <c r="B597" s="9" t="s">
        <v>4064</v>
      </c>
      <c r="C597" s="9">
        <v>572.0</v>
      </c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>
      <c r="A598" s="9">
        <v>597.0</v>
      </c>
      <c r="B598" s="9" t="s">
        <v>4065</v>
      </c>
      <c r="C598" s="9">
        <v>572.0</v>
      </c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>
      <c r="A599" s="9">
        <v>598.0</v>
      </c>
      <c r="B599" s="9" t="s">
        <v>4066</v>
      </c>
      <c r="C599" s="9">
        <v>572.0</v>
      </c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>
      <c r="A600" s="9">
        <v>599.0</v>
      </c>
      <c r="B600" s="9" t="s">
        <v>4067</v>
      </c>
      <c r="C600" s="9">
        <v>572.0</v>
      </c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>
      <c r="A601" s="9">
        <v>600.0</v>
      </c>
      <c r="B601" s="9" t="s">
        <v>4068</v>
      </c>
      <c r="C601" s="9">
        <v>572.0</v>
      </c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>
      <c r="A602" s="9">
        <v>601.0</v>
      </c>
      <c r="B602" s="9" t="s">
        <v>4069</v>
      </c>
      <c r="C602" s="9">
        <v>572.0</v>
      </c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>
      <c r="A603" s="9">
        <v>602.0</v>
      </c>
      <c r="B603" s="9" t="s">
        <v>4070</v>
      </c>
      <c r="C603" s="9">
        <v>572.0</v>
      </c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>
      <c r="A604" s="9">
        <v>603.0</v>
      </c>
      <c r="B604" s="9" t="s">
        <v>4071</v>
      </c>
      <c r="C604" s="9">
        <v>572.0</v>
      </c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>
      <c r="A605" s="9">
        <v>604.0</v>
      </c>
      <c r="B605" s="9" t="s">
        <v>4072</v>
      </c>
      <c r="C605" s="9">
        <v>572.0</v>
      </c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>
      <c r="A606" s="9">
        <v>605.0</v>
      </c>
      <c r="B606" s="9" t="s">
        <v>4073</v>
      </c>
      <c r="C606" s="9">
        <v>572.0</v>
      </c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>
      <c r="A607" s="9">
        <v>606.0</v>
      </c>
      <c r="B607" s="9" t="s">
        <v>4074</v>
      </c>
      <c r="C607" s="9">
        <v>572.0</v>
      </c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>
      <c r="A608" s="9">
        <v>607.0</v>
      </c>
      <c r="B608" s="9" t="s">
        <v>4075</v>
      </c>
      <c r="C608" s="9">
        <v>572.0</v>
      </c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>
      <c r="A609" s="9">
        <v>608.0</v>
      </c>
      <c r="B609" s="9" t="s">
        <v>4076</v>
      </c>
      <c r="C609" s="9">
        <v>572.0</v>
      </c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>
      <c r="A610" s="9">
        <v>609.0</v>
      </c>
      <c r="B610" s="9" t="s">
        <v>4077</v>
      </c>
      <c r="C610" s="9">
        <v>572.0</v>
      </c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>
      <c r="A611" s="9">
        <v>610.0</v>
      </c>
      <c r="B611" s="9" t="s">
        <v>4078</v>
      </c>
      <c r="C611" s="9">
        <v>572.0</v>
      </c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>
      <c r="A612" s="9">
        <v>611.0</v>
      </c>
      <c r="B612" s="9" t="s">
        <v>4079</v>
      </c>
      <c r="C612" s="9">
        <v>572.0</v>
      </c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>
      <c r="A613" s="9">
        <v>612.0</v>
      </c>
      <c r="B613" s="9" t="s">
        <v>4080</v>
      </c>
      <c r="C613" s="9">
        <v>572.0</v>
      </c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>
      <c r="A614" s="9">
        <v>613.0</v>
      </c>
      <c r="B614" s="9" t="s">
        <v>4081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>
      <c r="A615" s="9">
        <v>614.0</v>
      </c>
      <c r="B615" s="9" t="s">
        <v>4082</v>
      </c>
      <c r="C615" s="9">
        <v>613.0</v>
      </c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>
      <c r="A616" s="9">
        <v>615.0</v>
      </c>
      <c r="B616" s="9" t="s">
        <v>4083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>
      <c r="A617" s="9">
        <v>616.0</v>
      </c>
      <c r="B617" s="9" t="s">
        <v>4084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>
      <c r="A618" s="9">
        <v>617.0</v>
      </c>
      <c r="B618" s="9" t="s">
        <v>4085</v>
      </c>
      <c r="C618" s="9">
        <v>616.0</v>
      </c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>
      <c r="A619" s="9">
        <v>618.0</v>
      </c>
      <c r="B619" s="9" t="s">
        <v>4086</v>
      </c>
      <c r="C619" s="9">
        <v>616.0</v>
      </c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>
      <c r="A620" s="9">
        <v>619.0</v>
      </c>
      <c r="B620" s="9" t="s">
        <v>4087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>
      <c r="A621" s="9">
        <v>620.0</v>
      </c>
      <c r="B621" s="9" t="s">
        <v>4088</v>
      </c>
      <c r="C621" s="9">
        <v>619.0</v>
      </c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>
      <c r="A622" s="9">
        <v>621.0</v>
      </c>
      <c r="B622" s="9" t="s">
        <v>4089</v>
      </c>
      <c r="C622" s="9">
        <v>619.0</v>
      </c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>
      <c r="A623" s="9">
        <v>622.0</v>
      </c>
      <c r="B623" s="9" t="s">
        <v>4090</v>
      </c>
      <c r="C623" s="9">
        <v>619.0</v>
      </c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>
      <c r="A624" s="9">
        <v>623.0</v>
      </c>
      <c r="B624" s="9" t="s">
        <v>4091</v>
      </c>
      <c r="C624" s="9">
        <v>619.0</v>
      </c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>
      <c r="A625" s="9">
        <v>624.0</v>
      </c>
      <c r="B625" s="9" t="s">
        <v>4092</v>
      </c>
      <c r="C625" s="9">
        <v>619.0</v>
      </c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>
      <c r="A626" s="9">
        <v>625.0</v>
      </c>
      <c r="B626" s="9" t="s">
        <v>4093</v>
      </c>
      <c r="C626" s="9">
        <v>619.0</v>
      </c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>
      <c r="A627" s="9">
        <v>626.0</v>
      </c>
      <c r="B627" s="9" t="s">
        <v>4094</v>
      </c>
      <c r="C627" s="9">
        <v>619.0</v>
      </c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>
      <c r="A628" s="9">
        <v>627.0</v>
      </c>
      <c r="B628" s="9" t="s">
        <v>4095</v>
      </c>
      <c r="C628" s="9">
        <v>619.0</v>
      </c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>
      <c r="A629" s="9">
        <v>628.0</v>
      </c>
      <c r="B629" s="9" t="s">
        <v>4096</v>
      </c>
      <c r="C629" s="9">
        <v>619.0</v>
      </c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>
      <c r="A630" s="9">
        <v>629.0</v>
      </c>
      <c r="B630" s="9" t="s">
        <v>4097</v>
      </c>
      <c r="C630" s="9">
        <v>619.0</v>
      </c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>
      <c r="A631" s="9">
        <v>630.0</v>
      </c>
      <c r="B631" s="9" t="s">
        <v>4098</v>
      </c>
      <c r="C631" s="9">
        <v>619.0</v>
      </c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>
      <c r="A632" s="9">
        <v>631.0</v>
      </c>
      <c r="B632" s="9" t="s">
        <v>4099</v>
      </c>
      <c r="C632" s="9">
        <v>619.0</v>
      </c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>
      <c r="A633" s="9">
        <v>632.0</v>
      </c>
      <c r="B633" s="9" t="s">
        <v>4100</v>
      </c>
      <c r="C633" s="9">
        <v>619.0</v>
      </c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>
      <c r="A634" s="9">
        <v>633.0</v>
      </c>
      <c r="B634" s="9" t="s">
        <v>4101</v>
      </c>
      <c r="C634" s="9">
        <v>619.0</v>
      </c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>
      <c r="A635" s="9">
        <v>634.0</v>
      </c>
      <c r="B635" s="9" t="s">
        <v>4102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>
      <c r="A636" s="9">
        <v>635.0</v>
      </c>
      <c r="B636" s="9" t="s">
        <v>4103</v>
      </c>
      <c r="C636" s="9">
        <v>634.0</v>
      </c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>
      <c r="A637" s="9">
        <v>636.0</v>
      </c>
      <c r="B637" s="9" t="s">
        <v>4104</v>
      </c>
      <c r="C637" s="9">
        <v>634.0</v>
      </c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>
      <c r="A638" s="9">
        <v>637.0</v>
      </c>
      <c r="B638" s="9" t="s">
        <v>4105</v>
      </c>
      <c r="C638" s="9">
        <v>634.0</v>
      </c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>
      <c r="A639" s="9">
        <v>638.0</v>
      </c>
      <c r="B639" s="9" t="s">
        <v>4106</v>
      </c>
      <c r="C639" s="9">
        <v>634.0</v>
      </c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>
      <c r="A640" s="9">
        <v>639.0</v>
      </c>
      <c r="B640" s="9" t="s">
        <v>4107</v>
      </c>
      <c r="C640" s="9">
        <v>634.0</v>
      </c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>
      <c r="A641" s="9">
        <v>640.0</v>
      </c>
      <c r="B641" s="9" t="s">
        <v>4108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>
      <c r="A642" s="9">
        <v>641.0</v>
      </c>
      <c r="B642" s="9" t="s">
        <v>4109</v>
      </c>
      <c r="C642" s="9">
        <v>640.0</v>
      </c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>
      <c r="A643" s="9">
        <v>642.0</v>
      </c>
      <c r="B643" s="9" t="s">
        <v>4110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>
      <c r="A644" s="9">
        <v>643.0</v>
      </c>
      <c r="B644" s="9" t="s">
        <v>4111</v>
      </c>
      <c r="C644" s="9">
        <v>642.0</v>
      </c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>
      <c r="A645" s="9">
        <v>644.0</v>
      </c>
      <c r="B645" s="9" t="s">
        <v>4112</v>
      </c>
      <c r="C645" s="9">
        <v>642.0</v>
      </c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>
      <c r="A646" s="9">
        <v>645.0</v>
      </c>
      <c r="B646" s="9" t="s">
        <v>4113</v>
      </c>
      <c r="C646" s="9">
        <v>642.0</v>
      </c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>
      <c r="A647" s="9">
        <v>646.0</v>
      </c>
      <c r="B647" s="9" t="s">
        <v>4114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>
      <c r="A648" s="9">
        <v>647.0</v>
      </c>
      <c r="B648" s="9" t="s">
        <v>4115</v>
      </c>
      <c r="C648" s="9">
        <v>646.0</v>
      </c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>
      <c r="A649" s="9">
        <v>648.0</v>
      </c>
      <c r="B649" s="9" t="s">
        <v>4116</v>
      </c>
      <c r="C649" s="9">
        <v>646.0</v>
      </c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>
      <c r="A650" s="9">
        <v>649.0</v>
      </c>
      <c r="B650" s="9" t="s">
        <v>4117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>
      <c r="A651" s="9">
        <v>650.0</v>
      </c>
      <c r="B651" s="9" t="s">
        <v>4118</v>
      </c>
      <c r="C651" s="9">
        <v>649.0</v>
      </c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>
      <c r="A652" s="9">
        <v>651.0</v>
      </c>
      <c r="B652" s="9" t="s">
        <v>4119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>
      <c r="A653" s="9">
        <v>652.0</v>
      </c>
      <c r="B653" s="9" t="s">
        <v>4120</v>
      </c>
      <c r="C653" s="9">
        <v>651.0</v>
      </c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>
      <c r="A654" s="9">
        <v>653.0</v>
      </c>
      <c r="B654" s="9" t="s">
        <v>4121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>
      <c r="A655" s="9">
        <v>654.0</v>
      </c>
      <c r="B655" s="9" t="s">
        <v>4122</v>
      </c>
      <c r="C655" s="9">
        <v>653.0</v>
      </c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>
      <c r="A656" s="9">
        <v>655.0</v>
      </c>
      <c r="B656" s="9" t="s">
        <v>4123</v>
      </c>
      <c r="C656" s="9">
        <v>653.0</v>
      </c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>
      <c r="A657" s="9">
        <v>656.0</v>
      </c>
      <c r="B657" s="9" t="s">
        <v>4124</v>
      </c>
      <c r="C657" s="9">
        <v>653.0</v>
      </c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>
      <c r="A658" s="9">
        <v>657.0</v>
      </c>
      <c r="B658" s="9" t="s">
        <v>4125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>
      <c r="A659" s="9">
        <v>658.0</v>
      </c>
      <c r="B659" s="9" t="s">
        <v>4126</v>
      </c>
      <c r="C659" s="9">
        <v>657.0</v>
      </c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>
      <c r="A660" s="9">
        <v>659.0</v>
      </c>
      <c r="B660" s="9" t="s">
        <v>4127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>
      <c r="A661" s="9">
        <v>660.0</v>
      </c>
      <c r="B661" s="9" t="s">
        <v>4128</v>
      </c>
      <c r="C661" s="9">
        <v>659.0</v>
      </c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>
      <c r="A662" s="9">
        <v>661.0</v>
      </c>
      <c r="B662" s="9" t="s">
        <v>4129</v>
      </c>
      <c r="C662" s="9">
        <v>659.0</v>
      </c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>
      <c r="A663" s="9">
        <v>662.0</v>
      </c>
      <c r="B663" s="9" t="s">
        <v>4130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>
      <c r="A664" s="9">
        <v>663.0</v>
      </c>
      <c r="B664" s="9" t="s">
        <v>4131</v>
      </c>
      <c r="C664" s="9">
        <v>662.0</v>
      </c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>
      <c r="A665" s="9">
        <v>664.0</v>
      </c>
      <c r="B665" s="9" t="s">
        <v>4132</v>
      </c>
      <c r="C665" s="9">
        <v>662.0</v>
      </c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>
      <c r="A666" s="9">
        <v>665.0</v>
      </c>
      <c r="B666" s="9" t="s">
        <v>4133</v>
      </c>
      <c r="C666" s="9">
        <v>662.0</v>
      </c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>
      <c r="A667" s="9">
        <v>666.0</v>
      </c>
      <c r="B667" s="9" t="s">
        <v>4134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>
      <c r="A668" s="9">
        <v>667.0</v>
      </c>
      <c r="B668" s="9" t="s">
        <v>4135</v>
      </c>
      <c r="C668" s="9">
        <v>666.0</v>
      </c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>
      <c r="A669" s="9">
        <v>668.0</v>
      </c>
      <c r="B669" s="9" t="s">
        <v>4136</v>
      </c>
      <c r="C669" s="9">
        <v>666.0</v>
      </c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>
      <c r="A670" s="9">
        <v>669.0</v>
      </c>
      <c r="B670" s="9" t="s">
        <v>4137</v>
      </c>
      <c r="C670" s="9">
        <v>666.0</v>
      </c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>
      <c r="A671" s="9">
        <v>670.0</v>
      </c>
      <c r="B671" s="9" t="s">
        <v>4138</v>
      </c>
      <c r="C671" s="9">
        <v>666.0</v>
      </c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>
      <c r="A672" s="9">
        <v>671.0</v>
      </c>
      <c r="B672" s="9" t="s">
        <v>4139</v>
      </c>
      <c r="C672" s="9">
        <v>666.0</v>
      </c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>
      <c r="A673" s="9">
        <v>672.0</v>
      </c>
      <c r="B673" s="9" t="s">
        <v>4140</v>
      </c>
      <c r="C673" s="9">
        <v>666.0</v>
      </c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>
      <c r="A674" s="9">
        <v>673.0</v>
      </c>
      <c r="B674" s="9" t="s">
        <v>4141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>
      <c r="A675" s="9">
        <v>674.0</v>
      </c>
      <c r="B675" s="9" t="s">
        <v>4142</v>
      </c>
      <c r="C675" s="9">
        <v>673.0</v>
      </c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>
      <c r="A676" s="9">
        <v>675.0</v>
      </c>
      <c r="B676" s="9" t="s">
        <v>4143</v>
      </c>
      <c r="C676" s="9">
        <v>673.0</v>
      </c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>
      <c r="A677" s="9">
        <v>676.0</v>
      </c>
      <c r="B677" s="9" t="s">
        <v>4144</v>
      </c>
      <c r="C677" s="9">
        <v>673.0</v>
      </c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>
      <c r="A678" s="9">
        <v>677.0</v>
      </c>
      <c r="B678" s="9" t="s">
        <v>4145</v>
      </c>
      <c r="C678" s="9">
        <v>673.0</v>
      </c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>
      <c r="A679" s="9">
        <v>678.0</v>
      </c>
      <c r="B679" s="9" t="s">
        <v>4146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>
      <c r="A680" s="9">
        <v>679.0</v>
      </c>
      <c r="B680" s="9" t="s">
        <v>4147</v>
      </c>
      <c r="C680" s="9">
        <v>678.0</v>
      </c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>
      <c r="A681" s="9">
        <v>680.0</v>
      </c>
      <c r="B681" s="9" t="s">
        <v>4148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>
      <c r="A682" s="9">
        <v>681.0</v>
      </c>
      <c r="B682" s="9" t="s">
        <v>4149</v>
      </c>
      <c r="C682" s="9">
        <v>680.0</v>
      </c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>
      <c r="A683" s="9">
        <v>682.0</v>
      </c>
      <c r="B683" s="9" t="s">
        <v>4150</v>
      </c>
      <c r="C683" s="9">
        <v>680.0</v>
      </c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>
      <c r="A684" s="9">
        <v>683.0</v>
      </c>
      <c r="B684" s="9" t="s">
        <v>4151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>
      <c r="A685" s="9">
        <v>684.0</v>
      </c>
      <c r="B685" s="9" t="s">
        <v>4152</v>
      </c>
      <c r="C685" s="9">
        <v>683.0</v>
      </c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>
      <c r="A686" s="9">
        <v>685.0</v>
      </c>
      <c r="B686" s="9" t="s">
        <v>4153</v>
      </c>
      <c r="C686" s="9">
        <v>683.0</v>
      </c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>
      <c r="A687" s="9">
        <v>686.0</v>
      </c>
      <c r="B687" s="9" t="s">
        <v>4154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>
      <c r="A688" s="9">
        <v>687.0</v>
      </c>
      <c r="B688" s="9" t="s">
        <v>4155</v>
      </c>
      <c r="C688" s="9">
        <v>686.0</v>
      </c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>
      <c r="A689" s="9">
        <v>688.0</v>
      </c>
      <c r="B689" s="9" t="s">
        <v>4156</v>
      </c>
      <c r="C689" s="9">
        <v>686.0</v>
      </c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>
      <c r="A690" s="9">
        <v>689.0</v>
      </c>
      <c r="B690" s="9" t="s">
        <v>4157</v>
      </c>
      <c r="C690" s="9">
        <v>686.0</v>
      </c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>
      <c r="A691" s="9">
        <v>690.0</v>
      </c>
      <c r="B691" s="9" t="s">
        <v>4158</v>
      </c>
      <c r="C691" s="9">
        <v>686.0</v>
      </c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>
      <c r="A692" s="9">
        <v>691.0</v>
      </c>
      <c r="B692" s="9" t="s">
        <v>4159</v>
      </c>
      <c r="C692" s="9">
        <v>686.0</v>
      </c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>
      <c r="A693" s="9">
        <v>692.0</v>
      </c>
      <c r="B693" s="9" t="s">
        <v>4160</v>
      </c>
      <c r="C693" s="9">
        <v>686.0</v>
      </c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>
      <c r="A694" s="9">
        <v>693.0</v>
      </c>
      <c r="B694" s="9" t="s">
        <v>4161</v>
      </c>
      <c r="C694" s="9">
        <v>686.0</v>
      </c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>
      <c r="A695" s="9">
        <v>694.0</v>
      </c>
      <c r="B695" s="9" t="s">
        <v>4162</v>
      </c>
      <c r="C695" s="9">
        <v>686.0</v>
      </c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>
      <c r="A696" s="9">
        <v>695.0</v>
      </c>
      <c r="B696" s="9" t="s">
        <v>4163</v>
      </c>
      <c r="C696" s="9">
        <v>686.0</v>
      </c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>
      <c r="A697" s="9">
        <v>696.0</v>
      </c>
      <c r="B697" s="9" t="s">
        <v>4164</v>
      </c>
      <c r="C697" s="9">
        <v>686.0</v>
      </c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>
      <c r="A698" s="9">
        <v>697.0</v>
      </c>
      <c r="B698" s="9" t="s">
        <v>4165</v>
      </c>
      <c r="C698" s="9">
        <v>686.0</v>
      </c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>
      <c r="A699" s="9">
        <v>698.0</v>
      </c>
      <c r="B699" s="9" t="s">
        <v>4166</v>
      </c>
      <c r="C699" s="9">
        <v>686.0</v>
      </c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>
      <c r="A700" s="9">
        <v>699.0</v>
      </c>
      <c r="B700" s="9" t="s">
        <v>4167</v>
      </c>
      <c r="C700" s="9">
        <v>686.0</v>
      </c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>
      <c r="A701" s="9">
        <v>700.0</v>
      </c>
      <c r="B701" s="9" t="s">
        <v>4168</v>
      </c>
      <c r="C701" s="9">
        <v>686.0</v>
      </c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>
      <c r="A702" s="9">
        <v>701.0</v>
      </c>
      <c r="B702" s="9" t="s">
        <v>4169</v>
      </c>
      <c r="C702" s="9">
        <v>686.0</v>
      </c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>
      <c r="A703" s="9">
        <v>702.0</v>
      </c>
      <c r="B703" s="9" t="s">
        <v>4170</v>
      </c>
      <c r="C703" s="9">
        <v>686.0</v>
      </c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>
      <c r="A704" s="9">
        <v>703.0</v>
      </c>
      <c r="B704" s="9" t="s">
        <v>4171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>
      <c r="A705" s="9">
        <v>704.0</v>
      </c>
      <c r="B705" s="9" t="s">
        <v>4172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>
      <c r="A706" s="9">
        <v>705.0</v>
      </c>
      <c r="B706" s="9" t="s">
        <v>4173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>
      <c r="A707" s="9">
        <v>706.0</v>
      </c>
      <c r="B707" s="9" t="s">
        <v>4174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>
      <c r="A708" s="9">
        <v>707.0</v>
      </c>
      <c r="B708" s="9" t="s">
        <v>4175</v>
      </c>
      <c r="C708" s="9">
        <v>706.0</v>
      </c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>
      <c r="A709" s="9">
        <v>708.0</v>
      </c>
      <c r="B709" s="9" t="s">
        <v>4176</v>
      </c>
      <c r="C709" s="9">
        <v>706.0</v>
      </c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>
      <c r="A710" s="9">
        <v>709.0</v>
      </c>
      <c r="B710" s="9" t="s">
        <v>4177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>
      <c r="A711" s="9">
        <v>710.0</v>
      </c>
      <c r="B711" s="9" t="s">
        <v>4178</v>
      </c>
      <c r="C711" s="9">
        <v>709.0</v>
      </c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>
      <c r="A712" s="9">
        <v>711.0</v>
      </c>
      <c r="B712" s="9" t="s">
        <v>4179</v>
      </c>
      <c r="C712" s="9">
        <v>709.0</v>
      </c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>
      <c r="A713" s="9">
        <v>712.0</v>
      </c>
      <c r="B713" s="9" t="s">
        <v>4180</v>
      </c>
      <c r="C713" s="9">
        <v>709.0</v>
      </c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>
      <c r="A714" s="9">
        <v>713.0</v>
      </c>
      <c r="B714" s="9" t="s">
        <v>4181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>
      <c r="A715" s="9">
        <v>714.0</v>
      </c>
      <c r="B715" s="9" t="s">
        <v>4182</v>
      </c>
      <c r="C715" s="9">
        <v>713.0</v>
      </c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>
      <c r="A716" s="9">
        <v>715.0</v>
      </c>
      <c r="B716" s="9" t="s">
        <v>4183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>
      <c r="A717" s="9">
        <v>716.0</v>
      </c>
      <c r="B717" s="9" t="s">
        <v>4184</v>
      </c>
      <c r="C717" s="9">
        <v>715.0</v>
      </c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>
      <c r="A718" s="9">
        <v>717.0</v>
      </c>
      <c r="B718" s="9" t="s">
        <v>4185</v>
      </c>
      <c r="C718" s="9">
        <v>715.0</v>
      </c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>
      <c r="A719" s="9">
        <v>718.0</v>
      </c>
      <c r="B719" s="9" t="s">
        <v>4186</v>
      </c>
      <c r="C719" s="9">
        <v>715.0</v>
      </c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>
      <c r="A720" s="9">
        <v>719.0</v>
      </c>
      <c r="B720" s="9" t="s">
        <v>4187</v>
      </c>
      <c r="C720" s="9">
        <v>715.0</v>
      </c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>
      <c r="A721" s="9">
        <v>720.0</v>
      </c>
      <c r="B721" s="9" t="s">
        <v>4188</v>
      </c>
      <c r="C721" s="9">
        <v>715.0</v>
      </c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>
      <c r="A722" s="9">
        <v>721.0</v>
      </c>
      <c r="B722" s="9" t="s">
        <v>4189</v>
      </c>
      <c r="C722" s="9">
        <v>715.0</v>
      </c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>
      <c r="A723" s="9">
        <v>722.0</v>
      </c>
      <c r="B723" s="9" t="s">
        <v>4190</v>
      </c>
      <c r="C723" s="9">
        <v>715.0</v>
      </c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>
      <c r="A724" s="9">
        <v>723.0</v>
      </c>
      <c r="B724" s="9" t="s">
        <v>4191</v>
      </c>
      <c r="C724" s="9">
        <v>715.0</v>
      </c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>
      <c r="A725" s="9">
        <v>724.0</v>
      </c>
      <c r="B725" s="9" t="s">
        <v>4192</v>
      </c>
      <c r="C725" s="9">
        <v>715.0</v>
      </c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>
      <c r="A726" s="9">
        <v>725.0</v>
      </c>
      <c r="B726" s="9" t="s">
        <v>4193</v>
      </c>
      <c r="C726" s="9">
        <v>715.0</v>
      </c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>
      <c r="A727" s="9">
        <v>726.0</v>
      </c>
      <c r="B727" s="9" t="s">
        <v>4194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>
      <c r="A728" s="9">
        <v>727.0</v>
      </c>
      <c r="B728" s="9" t="s">
        <v>4195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>
      <c r="A729" s="9">
        <v>728.0</v>
      </c>
      <c r="B729" s="9" t="s">
        <v>4196</v>
      </c>
      <c r="C729" s="9">
        <v>727.0</v>
      </c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>
      <c r="A730" s="9">
        <v>729.0</v>
      </c>
      <c r="B730" s="9" t="s">
        <v>4197</v>
      </c>
      <c r="C730" s="9">
        <v>727.0</v>
      </c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>
      <c r="A731" s="9">
        <v>730.0</v>
      </c>
      <c r="B731" s="9" t="s">
        <v>4198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>
      <c r="A732" s="9">
        <v>731.0</v>
      </c>
      <c r="B732" s="9" t="s">
        <v>4199</v>
      </c>
      <c r="C732" s="9">
        <v>730.0</v>
      </c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>
      <c r="A733" s="9">
        <v>732.0</v>
      </c>
      <c r="B733" s="9" t="s">
        <v>4200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>
      <c r="A734" s="9">
        <v>733.0</v>
      </c>
      <c r="B734" s="9" t="s">
        <v>4201</v>
      </c>
      <c r="C734" s="9">
        <v>732.0</v>
      </c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>
      <c r="A735" s="9">
        <v>734.0</v>
      </c>
      <c r="B735" s="9" t="s">
        <v>4202</v>
      </c>
      <c r="C735" s="9">
        <v>732.0</v>
      </c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>
      <c r="A736" s="9">
        <v>735.0</v>
      </c>
      <c r="B736" s="9" t="s">
        <v>4203</v>
      </c>
      <c r="C736" s="9">
        <v>732.0</v>
      </c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>
      <c r="A737" s="9">
        <v>736.0</v>
      </c>
      <c r="B737" s="9" t="s">
        <v>4204</v>
      </c>
      <c r="C737" s="9">
        <v>732.0</v>
      </c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>
      <c r="A738" s="9">
        <v>737.0</v>
      </c>
      <c r="B738" s="9" t="s">
        <v>4205</v>
      </c>
      <c r="C738" s="9">
        <v>732.0</v>
      </c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>
      <c r="A739" s="9">
        <v>738.0</v>
      </c>
      <c r="B739" s="9" t="s">
        <v>4206</v>
      </c>
      <c r="C739" s="9">
        <v>732.0</v>
      </c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>
      <c r="A740" s="9">
        <v>739.0</v>
      </c>
      <c r="B740" s="9" t="s">
        <v>4207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>
      <c r="A741" s="9">
        <v>740.0</v>
      </c>
      <c r="B741" s="9" t="s">
        <v>4208</v>
      </c>
      <c r="C741" s="9">
        <v>739.0</v>
      </c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>
      <c r="A742" s="9">
        <v>741.0</v>
      </c>
      <c r="B742" s="9" t="s">
        <v>4209</v>
      </c>
      <c r="C742" s="9">
        <v>739.0</v>
      </c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>
      <c r="A743" s="9">
        <v>742.0</v>
      </c>
      <c r="B743" s="9" t="s">
        <v>4210</v>
      </c>
      <c r="C743" s="9">
        <v>739.0</v>
      </c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>
      <c r="A744" s="9">
        <v>743.0</v>
      </c>
      <c r="B744" s="9" t="s">
        <v>4211</v>
      </c>
      <c r="C744" s="9">
        <v>739.0</v>
      </c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>
      <c r="A745" s="9">
        <v>744.0</v>
      </c>
      <c r="B745" s="9" t="s">
        <v>4212</v>
      </c>
      <c r="C745" s="9">
        <v>739.0</v>
      </c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>
      <c r="A746" s="9">
        <v>745.0</v>
      </c>
      <c r="B746" s="9" t="s">
        <v>4213</v>
      </c>
      <c r="C746" s="9">
        <v>739.0</v>
      </c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>
      <c r="A747" s="9">
        <v>746.0</v>
      </c>
      <c r="B747" s="9" t="s">
        <v>4214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>
      <c r="A748" s="9">
        <v>747.0</v>
      </c>
      <c r="B748" s="9" t="s">
        <v>4215</v>
      </c>
      <c r="C748" s="9">
        <v>746.0</v>
      </c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>
      <c r="A749" s="9">
        <v>748.0</v>
      </c>
      <c r="B749" s="9" t="s">
        <v>4216</v>
      </c>
      <c r="C749" s="9">
        <v>746.0</v>
      </c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>
      <c r="A750" s="9">
        <v>749.0</v>
      </c>
      <c r="B750" s="9" t="s">
        <v>4217</v>
      </c>
      <c r="C750" s="9">
        <v>746.0</v>
      </c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>
      <c r="A751" s="9">
        <v>750.0</v>
      </c>
      <c r="B751" s="9" t="s">
        <v>4218</v>
      </c>
      <c r="C751" s="9">
        <v>746.0</v>
      </c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>
      <c r="A752" s="9">
        <v>751.0</v>
      </c>
      <c r="B752" s="9" t="s">
        <v>4219</v>
      </c>
      <c r="C752" s="9">
        <v>746.0</v>
      </c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>
      <c r="A753" s="9">
        <v>752.0</v>
      </c>
      <c r="B753" s="9" t="s">
        <v>4220</v>
      </c>
      <c r="C753" s="9">
        <v>746.0</v>
      </c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>
      <c r="A754" s="9">
        <v>753.0</v>
      </c>
      <c r="B754" s="9" t="s">
        <v>4221</v>
      </c>
      <c r="C754" s="9">
        <v>746.0</v>
      </c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>
      <c r="A755" s="9">
        <v>754.0</v>
      </c>
      <c r="B755" s="9" t="s">
        <v>4222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>
      <c r="A756" s="9">
        <v>755.0</v>
      </c>
      <c r="B756" s="9" t="s">
        <v>4223</v>
      </c>
      <c r="C756" s="9">
        <v>754.0</v>
      </c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>
      <c r="A757" s="9">
        <v>756.0</v>
      </c>
      <c r="B757" s="9" t="s">
        <v>4224</v>
      </c>
      <c r="C757" s="9">
        <v>754.0</v>
      </c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>
      <c r="A758" s="9">
        <v>757.0</v>
      </c>
      <c r="B758" s="9" t="s">
        <v>4225</v>
      </c>
      <c r="C758" s="9">
        <v>754.0</v>
      </c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>
      <c r="A759" s="9">
        <v>758.0</v>
      </c>
      <c r="B759" s="9" t="s">
        <v>4226</v>
      </c>
      <c r="C759" s="9">
        <v>754.0</v>
      </c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>
      <c r="A760" s="9">
        <v>759.0</v>
      </c>
      <c r="B760" s="9" t="s">
        <v>4227</v>
      </c>
      <c r="C760" s="9">
        <v>754.0</v>
      </c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>
      <c r="A761" s="9">
        <v>760.0</v>
      </c>
      <c r="B761" s="9" t="s">
        <v>4228</v>
      </c>
      <c r="C761" s="9">
        <v>754.0</v>
      </c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>
      <c r="A762" s="9">
        <v>761.0</v>
      </c>
      <c r="B762" s="9" t="s">
        <v>4229</v>
      </c>
      <c r="C762" s="9">
        <v>754.0</v>
      </c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>
      <c r="A763" s="9">
        <v>762.0</v>
      </c>
      <c r="B763" s="9" t="s">
        <v>4230</v>
      </c>
      <c r="C763" s="9">
        <v>754.0</v>
      </c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>
      <c r="A764" s="9">
        <v>763.0</v>
      </c>
      <c r="B764" s="9" t="s">
        <v>4231</v>
      </c>
      <c r="C764" s="9">
        <v>754.0</v>
      </c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>
      <c r="A765" s="9">
        <v>764.0</v>
      </c>
      <c r="B765" s="9" t="s">
        <v>4232</v>
      </c>
      <c r="C765" s="9">
        <v>754.0</v>
      </c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>
      <c r="A766" s="9">
        <v>765.0</v>
      </c>
      <c r="B766" s="9" t="s">
        <v>4233</v>
      </c>
      <c r="C766" s="9">
        <v>754.0</v>
      </c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>
      <c r="A767" s="9">
        <v>766.0</v>
      </c>
      <c r="B767" s="9" t="s">
        <v>4234</v>
      </c>
      <c r="C767" s="9">
        <v>754.0</v>
      </c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>
      <c r="A768" s="9">
        <v>767.0</v>
      </c>
      <c r="B768" s="9" t="s">
        <v>4235</v>
      </c>
      <c r="C768" s="9">
        <v>754.0</v>
      </c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>
      <c r="A769" s="9">
        <v>768.0</v>
      </c>
      <c r="B769" s="9" t="s">
        <v>4236</v>
      </c>
      <c r="C769" s="9">
        <v>754.0</v>
      </c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>
      <c r="A770" s="9">
        <v>769.0</v>
      </c>
      <c r="B770" s="9" t="s">
        <v>4237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>
      <c r="A771" s="9">
        <v>770.0</v>
      </c>
      <c r="B771" s="9" t="s">
        <v>4238</v>
      </c>
      <c r="C771" s="9">
        <v>769.0</v>
      </c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>
      <c r="A772" s="9">
        <v>771.0</v>
      </c>
      <c r="B772" s="9" t="s">
        <v>4239</v>
      </c>
      <c r="C772" s="9">
        <v>769.0</v>
      </c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>
      <c r="A773" s="9">
        <v>772.0</v>
      </c>
      <c r="B773" s="9" t="s">
        <v>4240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>
      <c r="A774" s="9">
        <v>773.0</v>
      </c>
      <c r="B774" s="9" t="s">
        <v>4241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>
      <c r="A775" s="9">
        <v>774.0</v>
      </c>
      <c r="B775" s="9" t="s">
        <v>4242</v>
      </c>
      <c r="C775" s="9">
        <v>773.0</v>
      </c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>
      <c r="A776" s="9">
        <v>775.0</v>
      </c>
      <c r="B776" s="9" t="s">
        <v>4243</v>
      </c>
      <c r="C776" s="9">
        <v>773.0</v>
      </c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>
      <c r="A777" s="9">
        <v>776.0</v>
      </c>
      <c r="B777" s="9" t="s">
        <v>4244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>
      <c r="A778" s="9">
        <v>777.0</v>
      </c>
      <c r="B778" s="9" t="s">
        <v>4245</v>
      </c>
      <c r="C778" s="9">
        <v>776.0</v>
      </c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>
      <c r="A779" s="9">
        <v>778.0</v>
      </c>
      <c r="B779" s="9" t="s">
        <v>4246</v>
      </c>
      <c r="C779" s="9">
        <v>776.0</v>
      </c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>
      <c r="A780" s="9">
        <v>779.0</v>
      </c>
      <c r="B780" s="9" t="s">
        <v>4247</v>
      </c>
      <c r="C780" s="9">
        <v>776.0</v>
      </c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>
      <c r="A781" s="9">
        <v>780.0</v>
      </c>
      <c r="B781" s="9" t="s">
        <v>4248</v>
      </c>
      <c r="C781" s="9">
        <v>776.0</v>
      </c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>
      <c r="A782" s="9">
        <v>781.0</v>
      </c>
      <c r="B782" s="9" t="s">
        <v>4249</v>
      </c>
      <c r="C782" s="9">
        <v>776.0</v>
      </c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>
      <c r="A783" s="9">
        <v>782.0</v>
      </c>
      <c r="B783" s="9" t="s">
        <v>4250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>
      <c r="A784" s="9">
        <v>783.0</v>
      </c>
      <c r="B784" s="9" t="s">
        <v>4251</v>
      </c>
      <c r="C784" s="9">
        <v>782.0</v>
      </c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>
      <c r="A785" s="9">
        <v>784.0</v>
      </c>
      <c r="B785" s="9" t="s">
        <v>4252</v>
      </c>
      <c r="C785" s="9">
        <v>782.0</v>
      </c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>
      <c r="A786" s="9">
        <v>785.0</v>
      </c>
      <c r="B786" s="9" t="s">
        <v>4253</v>
      </c>
      <c r="C786" s="9">
        <v>782.0</v>
      </c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>
      <c r="A787" s="9">
        <v>786.0</v>
      </c>
      <c r="B787" s="9" t="s">
        <v>4254</v>
      </c>
      <c r="C787" s="9">
        <v>782.0</v>
      </c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>
      <c r="A788" s="9">
        <v>787.0</v>
      </c>
      <c r="B788" s="9" t="s">
        <v>4255</v>
      </c>
      <c r="C788" s="9">
        <v>782.0</v>
      </c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>
      <c r="A789" s="9">
        <v>788.0</v>
      </c>
      <c r="B789" s="9" t="s">
        <v>4256</v>
      </c>
      <c r="C789" s="9">
        <v>782.0</v>
      </c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>
      <c r="A790" s="9">
        <v>789.0</v>
      </c>
      <c r="B790" s="9" t="s">
        <v>4257</v>
      </c>
      <c r="C790" s="9">
        <v>782.0</v>
      </c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>
      <c r="A791" s="9">
        <v>790.0</v>
      </c>
      <c r="B791" s="9" t="s">
        <v>4258</v>
      </c>
      <c r="C791" s="9">
        <v>782.0</v>
      </c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>
      <c r="A792" s="9">
        <v>791.0</v>
      </c>
      <c r="B792" s="9" t="s">
        <v>4259</v>
      </c>
      <c r="C792" s="9">
        <v>782.0</v>
      </c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>
      <c r="A793" s="9">
        <v>792.0</v>
      </c>
      <c r="B793" s="9" t="s">
        <v>4260</v>
      </c>
      <c r="C793" s="9">
        <v>782.0</v>
      </c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>
      <c r="A794" s="9">
        <v>793.0</v>
      </c>
      <c r="B794" s="9" t="s">
        <v>4261</v>
      </c>
      <c r="C794" s="9">
        <v>782.0</v>
      </c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>
      <c r="A795" s="9">
        <v>794.0</v>
      </c>
      <c r="B795" s="9" t="s">
        <v>4262</v>
      </c>
      <c r="C795" s="9">
        <v>782.0</v>
      </c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>
      <c r="A796" s="9">
        <v>795.0</v>
      </c>
      <c r="B796" s="9" t="s">
        <v>4263</v>
      </c>
      <c r="C796" s="9">
        <v>782.0</v>
      </c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>
      <c r="A797" s="9">
        <v>796.0</v>
      </c>
      <c r="B797" s="9" t="s">
        <v>4264</v>
      </c>
      <c r="C797" s="9">
        <v>782.0</v>
      </c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>
      <c r="A798" s="9">
        <v>797.0</v>
      </c>
      <c r="B798" s="9" t="s">
        <v>4265</v>
      </c>
      <c r="C798" s="9">
        <v>782.0</v>
      </c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>
      <c r="A799" s="9">
        <v>798.0</v>
      </c>
      <c r="B799" s="9" t="s">
        <v>4266</v>
      </c>
      <c r="C799" s="9">
        <v>782.0</v>
      </c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>
      <c r="A800" s="9">
        <v>799.0</v>
      </c>
      <c r="B800" s="9" t="s">
        <v>4267</v>
      </c>
      <c r="C800" s="9">
        <v>782.0</v>
      </c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>
      <c r="A801" s="9">
        <v>800.0</v>
      </c>
      <c r="B801" s="9" t="s">
        <v>4268</v>
      </c>
      <c r="C801" s="9">
        <v>782.0</v>
      </c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>
      <c r="A802" s="9">
        <v>801.0</v>
      </c>
      <c r="B802" s="9" t="s">
        <v>4269</v>
      </c>
      <c r="C802" s="9">
        <v>782.0</v>
      </c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>
      <c r="A803" s="9">
        <v>802.0</v>
      </c>
      <c r="B803" s="9" t="s">
        <v>4270</v>
      </c>
      <c r="C803" s="9">
        <v>782.0</v>
      </c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>
      <c r="A804" s="9">
        <v>803.0</v>
      </c>
      <c r="B804" s="9" t="s">
        <v>4271</v>
      </c>
      <c r="C804" s="9">
        <v>782.0</v>
      </c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>
      <c r="A805" s="9">
        <v>804.0</v>
      </c>
      <c r="B805" s="9" t="s">
        <v>4272</v>
      </c>
      <c r="C805" s="9">
        <v>782.0</v>
      </c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>
      <c r="A806" s="9">
        <v>805.0</v>
      </c>
      <c r="B806" s="9" t="s">
        <v>4273</v>
      </c>
      <c r="C806" s="9">
        <v>782.0</v>
      </c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>
      <c r="A807" s="9">
        <v>806.0</v>
      </c>
      <c r="B807" s="9" t="s">
        <v>4274</v>
      </c>
      <c r="C807" s="9">
        <v>782.0</v>
      </c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>
      <c r="A808" s="9">
        <v>807.0</v>
      </c>
      <c r="B808" s="9" t="s">
        <v>4275</v>
      </c>
      <c r="C808" s="9">
        <v>782.0</v>
      </c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>
      <c r="A809" s="9">
        <v>808.0</v>
      </c>
      <c r="B809" s="9" t="s">
        <v>4276</v>
      </c>
      <c r="C809" s="9">
        <v>782.0</v>
      </c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>
      <c r="A810" s="9">
        <v>809.0</v>
      </c>
      <c r="B810" s="9" t="s">
        <v>4277</v>
      </c>
      <c r="C810" s="9">
        <v>782.0</v>
      </c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>
      <c r="A811" s="9">
        <v>810.0</v>
      </c>
      <c r="B811" s="9" t="s">
        <v>4278</v>
      </c>
      <c r="C811" s="9">
        <v>782.0</v>
      </c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>
      <c r="A812" s="9">
        <v>811.0</v>
      </c>
      <c r="B812" s="9" t="s">
        <v>4279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>
      <c r="A813" s="9">
        <v>812.0</v>
      </c>
      <c r="B813" s="9" t="s">
        <v>4280</v>
      </c>
      <c r="C813" s="9">
        <v>811.0</v>
      </c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>
      <c r="A814" s="9">
        <v>813.0</v>
      </c>
      <c r="B814" s="9" t="s">
        <v>4281</v>
      </c>
      <c r="C814" s="9">
        <v>811.0</v>
      </c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>
      <c r="A815" s="9">
        <v>814.0</v>
      </c>
      <c r="B815" s="9" t="s">
        <v>4282</v>
      </c>
      <c r="C815" s="9">
        <v>811.0</v>
      </c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>
      <c r="A816" s="9">
        <v>815.0</v>
      </c>
      <c r="B816" s="9" t="s">
        <v>4283</v>
      </c>
      <c r="C816" s="9">
        <v>811.0</v>
      </c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>
      <c r="A817" s="9">
        <v>816.0</v>
      </c>
      <c r="B817" s="9" t="s">
        <v>4284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>
      <c r="A818" s="9">
        <v>817.0</v>
      </c>
      <c r="B818" s="9" t="s">
        <v>4285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>
      <c r="A819" s="9">
        <v>818.0</v>
      </c>
      <c r="B819" s="9" t="s">
        <v>4286</v>
      </c>
      <c r="C819" s="9">
        <v>817.0</v>
      </c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>
      <c r="A820" s="9">
        <v>819.0</v>
      </c>
      <c r="B820" s="9" t="s">
        <v>4287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>
      <c r="A821" s="9">
        <v>820.0</v>
      </c>
      <c r="B821" s="9" t="s">
        <v>4288</v>
      </c>
      <c r="C821" s="9">
        <v>819.0</v>
      </c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>
      <c r="A822" s="9">
        <v>821.0</v>
      </c>
      <c r="B822" s="9" t="s">
        <v>4289</v>
      </c>
      <c r="C822" s="9">
        <v>819.0</v>
      </c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>
      <c r="A823" s="9">
        <v>822.0</v>
      </c>
      <c r="B823" s="9" t="s">
        <v>4290</v>
      </c>
      <c r="C823" s="9">
        <v>819.0</v>
      </c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>
      <c r="A824" s="9">
        <v>823.0</v>
      </c>
      <c r="B824" s="9" t="s">
        <v>4291</v>
      </c>
      <c r="C824" s="9">
        <v>819.0</v>
      </c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>
      <c r="A825" s="9">
        <v>824.0</v>
      </c>
      <c r="B825" s="9" t="s">
        <v>4292</v>
      </c>
      <c r="C825" s="9">
        <v>819.0</v>
      </c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>
      <c r="A826" s="9">
        <v>825.0</v>
      </c>
      <c r="B826" s="9" t="s">
        <v>4293</v>
      </c>
      <c r="C826" s="9">
        <v>819.0</v>
      </c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>
      <c r="A827" s="9">
        <v>826.0</v>
      </c>
      <c r="B827" s="9" t="s">
        <v>4294</v>
      </c>
      <c r="C827" s="9">
        <v>819.0</v>
      </c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>
      <c r="A828" s="9">
        <v>827.0</v>
      </c>
      <c r="B828" s="9" t="s">
        <v>4295</v>
      </c>
      <c r="C828" s="9">
        <v>819.0</v>
      </c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>
      <c r="A829" s="9">
        <v>828.0</v>
      </c>
      <c r="B829" s="9" t="s">
        <v>4296</v>
      </c>
      <c r="C829" s="9">
        <v>819.0</v>
      </c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>
      <c r="A830" s="9">
        <v>829.0</v>
      </c>
      <c r="B830" s="9" t="s">
        <v>4297</v>
      </c>
      <c r="C830" s="9">
        <v>819.0</v>
      </c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>
      <c r="A831" s="9">
        <v>830.0</v>
      </c>
      <c r="B831" s="9" t="s">
        <v>4298</v>
      </c>
      <c r="C831" s="9">
        <v>819.0</v>
      </c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>
      <c r="A832" s="9">
        <v>831.0</v>
      </c>
      <c r="B832" s="9" t="s">
        <v>4299</v>
      </c>
      <c r="C832" s="9">
        <v>819.0</v>
      </c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>
      <c r="A833" s="9">
        <v>832.0</v>
      </c>
      <c r="B833" s="9" t="s">
        <v>4300</v>
      </c>
      <c r="C833" s="9">
        <v>819.0</v>
      </c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>
      <c r="A834" s="9">
        <v>833.0</v>
      </c>
      <c r="B834" s="9" t="s">
        <v>4301</v>
      </c>
      <c r="C834" s="9">
        <v>819.0</v>
      </c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>
      <c r="A835" s="9">
        <v>834.0</v>
      </c>
      <c r="B835" s="9" t="s">
        <v>4302</v>
      </c>
      <c r="C835" s="9">
        <v>819.0</v>
      </c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>
      <c r="A836" s="9">
        <v>835.0</v>
      </c>
      <c r="B836" s="9" t="s">
        <v>4303</v>
      </c>
      <c r="C836" s="9">
        <v>819.0</v>
      </c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>
      <c r="A837" s="9">
        <v>836.0</v>
      </c>
      <c r="B837" s="9" t="s">
        <v>4304</v>
      </c>
      <c r="C837" s="9">
        <v>819.0</v>
      </c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>
      <c r="A838" s="9">
        <v>837.0</v>
      </c>
      <c r="B838" s="9" t="s">
        <v>4305</v>
      </c>
      <c r="C838" s="9">
        <v>819.0</v>
      </c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>
      <c r="A839" s="9">
        <v>838.0</v>
      </c>
      <c r="B839" s="9" t="s">
        <v>4306</v>
      </c>
      <c r="C839" s="9">
        <v>819.0</v>
      </c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>
      <c r="A840" s="9">
        <v>839.0</v>
      </c>
      <c r="B840" s="9" t="s">
        <v>4307</v>
      </c>
      <c r="C840" s="9">
        <v>819.0</v>
      </c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>
      <c r="A841" s="9">
        <v>840.0</v>
      </c>
      <c r="B841" s="9" t="s">
        <v>4308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>
      <c r="A842" s="9">
        <v>841.0</v>
      </c>
      <c r="B842" s="9" t="s">
        <v>4309</v>
      </c>
      <c r="C842" s="9">
        <v>840.0</v>
      </c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>
      <c r="A843" s="9">
        <v>842.0</v>
      </c>
      <c r="B843" s="9" t="s">
        <v>4310</v>
      </c>
      <c r="C843" s="9">
        <v>840.0</v>
      </c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>
      <c r="A844" s="9">
        <v>843.0</v>
      </c>
      <c r="B844" s="9" t="s">
        <v>4311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>
      <c r="A845" s="9">
        <v>844.0</v>
      </c>
      <c r="B845" s="9" t="s">
        <v>4312</v>
      </c>
      <c r="C845" s="9">
        <v>843.0</v>
      </c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>
      <c r="A846" s="9">
        <v>845.0</v>
      </c>
      <c r="B846" s="9" t="s">
        <v>4313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>
      <c r="A847" s="9">
        <v>846.0</v>
      </c>
      <c r="B847" s="9" t="s">
        <v>4314</v>
      </c>
      <c r="C847" s="9">
        <v>845.0</v>
      </c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>
      <c r="A848" s="9">
        <v>847.0</v>
      </c>
      <c r="B848" s="9" t="s">
        <v>4315</v>
      </c>
      <c r="C848" s="9">
        <v>845.0</v>
      </c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>
      <c r="A849" s="9">
        <v>848.0</v>
      </c>
      <c r="B849" s="9" t="s">
        <v>4316</v>
      </c>
      <c r="C849" s="9">
        <v>845.0</v>
      </c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>
      <c r="A850" s="9">
        <v>849.0</v>
      </c>
      <c r="B850" s="9" t="s">
        <v>4317</v>
      </c>
      <c r="C850" s="9">
        <v>845.0</v>
      </c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>
      <c r="A851" s="9">
        <v>850.0</v>
      </c>
      <c r="B851" s="9" t="s">
        <v>1096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>
      <c r="A852" s="9">
        <v>851.0</v>
      </c>
      <c r="B852" s="9" t="s">
        <v>4318</v>
      </c>
      <c r="C852" s="9">
        <v>850.0</v>
      </c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>
      <c r="A853" s="9">
        <v>852.0</v>
      </c>
      <c r="B853" s="9" t="s">
        <v>4319</v>
      </c>
      <c r="C853" s="9">
        <v>850.0</v>
      </c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>
      <c r="A854" s="9">
        <v>853.0</v>
      </c>
      <c r="B854" s="9" t="s">
        <v>4320</v>
      </c>
      <c r="C854" s="9">
        <v>850.0</v>
      </c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>
      <c r="A855" s="9">
        <v>854.0</v>
      </c>
      <c r="B855" s="9" t="s">
        <v>4321</v>
      </c>
      <c r="C855" s="9">
        <v>850.0</v>
      </c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>
      <c r="A856" s="9">
        <v>855.0</v>
      </c>
      <c r="B856" s="9" t="s">
        <v>4322</v>
      </c>
      <c r="C856" s="9">
        <v>850.0</v>
      </c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>
      <c r="A857" s="9">
        <v>856.0</v>
      </c>
      <c r="B857" s="9" t="s">
        <v>4323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>
      <c r="A858" s="9">
        <v>857.0</v>
      </c>
      <c r="B858" s="9" t="s">
        <v>4324</v>
      </c>
      <c r="C858" s="9">
        <v>856.0</v>
      </c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>
      <c r="A859" s="9">
        <v>858.0</v>
      </c>
      <c r="B859" s="9" t="s">
        <v>4325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>
      <c r="A860" s="9">
        <v>859.0</v>
      </c>
      <c r="B860" s="9" t="s">
        <v>4326</v>
      </c>
      <c r="C860" s="9">
        <v>858.0</v>
      </c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>
      <c r="A861" s="9">
        <v>860.0</v>
      </c>
      <c r="B861" s="9" t="s">
        <v>4327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>
      <c r="A862" s="9">
        <v>861.0</v>
      </c>
      <c r="B862" s="9" t="s">
        <v>4328</v>
      </c>
      <c r="C862" s="9">
        <v>860.0</v>
      </c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>
      <c r="A863" s="9">
        <v>862.0</v>
      </c>
      <c r="B863" s="9" t="s">
        <v>4329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>
      <c r="A864" s="9">
        <v>863.0</v>
      </c>
      <c r="B864" s="9" t="s">
        <v>4330</v>
      </c>
      <c r="C864" s="9">
        <v>862.0</v>
      </c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>
      <c r="A865" s="9">
        <v>864.0</v>
      </c>
      <c r="B865" s="9" t="s">
        <v>4331</v>
      </c>
      <c r="C865" s="9">
        <v>862.0</v>
      </c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>
      <c r="A866" s="9">
        <v>865.0</v>
      </c>
      <c r="B866" s="9" t="s">
        <v>4332</v>
      </c>
      <c r="C866" s="9">
        <v>862.0</v>
      </c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>
      <c r="A867" s="9">
        <v>866.0</v>
      </c>
      <c r="B867" s="9" t="s">
        <v>4333</v>
      </c>
      <c r="C867" s="9">
        <v>862.0</v>
      </c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>
      <c r="A868" s="9">
        <v>867.0</v>
      </c>
      <c r="B868" s="9" t="s">
        <v>4334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>
      <c r="A869" s="9">
        <v>868.0</v>
      </c>
      <c r="B869" s="9" t="s">
        <v>4335</v>
      </c>
      <c r="C869" s="9">
        <v>867.0</v>
      </c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>
      <c r="A870" s="9">
        <v>869.0</v>
      </c>
      <c r="B870" s="9" t="s">
        <v>4336</v>
      </c>
      <c r="C870" s="9">
        <v>867.0</v>
      </c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>
      <c r="A871" s="9">
        <v>870.0</v>
      </c>
      <c r="B871" s="9" t="s">
        <v>4337</v>
      </c>
      <c r="C871" s="9">
        <v>867.0</v>
      </c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>
      <c r="A872" s="9">
        <v>871.0</v>
      </c>
      <c r="B872" s="9" t="s">
        <v>4338</v>
      </c>
      <c r="C872" s="9">
        <v>867.0</v>
      </c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>
      <c r="A873" s="9">
        <v>872.0</v>
      </c>
      <c r="B873" s="9" t="s">
        <v>4339</v>
      </c>
      <c r="C873" s="9">
        <v>867.0</v>
      </c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>
      <c r="A874" s="9">
        <v>873.0</v>
      </c>
      <c r="B874" s="9" t="s">
        <v>4340</v>
      </c>
      <c r="C874" s="9">
        <v>867.0</v>
      </c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>
      <c r="A875" s="9">
        <v>874.0</v>
      </c>
      <c r="B875" s="9" t="s">
        <v>4341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>
      <c r="A876" s="9">
        <v>875.0</v>
      </c>
      <c r="B876" s="9" t="s">
        <v>4342</v>
      </c>
      <c r="C876" s="9">
        <v>874.0</v>
      </c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>
      <c r="A877" s="9">
        <v>876.0</v>
      </c>
      <c r="B877" s="9" t="s">
        <v>4343</v>
      </c>
      <c r="C877" s="9">
        <v>874.0</v>
      </c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>
      <c r="A878" s="9">
        <v>877.0</v>
      </c>
      <c r="B878" s="9" t="s">
        <v>4344</v>
      </c>
      <c r="C878" s="9">
        <v>874.0</v>
      </c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>
      <c r="A879" s="9">
        <v>878.0</v>
      </c>
      <c r="B879" s="9" t="s">
        <v>4345</v>
      </c>
      <c r="C879" s="9">
        <v>874.0</v>
      </c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>
      <c r="A880" s="9">
        <v>879.0</v>
      </c>
      <c r="B880" s="9" t="s">
        <v>4346</v>
      </c>
      <c r="C880" s="9">
        <v>874.0</v>
      </c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>
      <c r="A881" s="9">
        <v>880.0</v>
      </c>
      <c r="B881" s="9" t="s">
        <v>4347</v>
      </c>
      <c r="C881" s="9">
        <v>874.0</v>
      </c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>
      <c r="A882" s="9">
        <v>881.0</v>
      </c>
      <c r="B882" s="9" t="s">
        <v>4348</v>
      </c>
      <c r="C882" s="9">
        <v>874.0</v>
      </c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>
      <c r="A883" s="9">
        <v>882.0</v>
      </c>
      <c r="B883" s="9" t="s">
        <v>4349</v>
      </c>
      <c r="C883" s="9">
        <v>874.0</v>
      </c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>
      <c r="A884" s="9">
        <v>883.0</v>
      </c>
      <c r="B884" s="9" t="s">
        <v>4350</v>
      </c>
      <c r="C884" s="9">
        <v>874.0</v>
      </c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>
      <c r="A885" s="9">
        <v>884.0</v>
      </c>
      <c r="B885" s="9" t="s">
        <v>4351</v>
      </c>
      <c r="C885" s="9">
        <v>874.0</v>
      </c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>
      <c r="A886" s="9">
        <v>885.0</v>
      </c>
      <c r="B886" s="9" t="s">
        <v>4352</v>
      </c>
      <c r="C886" s="9">
        <v>874.0</v>
      </c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>
      <c r="A887" s="9">
        <v>886.0</v>
      </c>
      <c r="B887" s="9" t="s">
        <v>4353</v>
      </c>
      <c r="C887" s="9">
        <v>874.0</v>
      </c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>
      <c r="A888" s="9">
        <v>887.0</v>
      </c>
      <c r="B888" s="9" t="s">
        <v>4354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>
      <c r="A889" s="9">
        <v>888.0</v>
      </c>
      <c r="B889" s="9" t="s">
        <v>4355</v>
      </c>
      <c r="C889" s="9">
        <v>887.0</v>
      </c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>
      <c r="A890" s="9">
        <v>889.0</v>
      </c>
      <c r="B890" s="9" t="s">
        <v>4356</v>
      </c>
      <c r="C890" s="9">
        <v>887.0</v>
      </c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>
      <c r="A891" s="9">
        <v>890.0</v>
      </c>
      <c r="B891" s="9" t="s">
        <v>4357</v>
      </c>
      <c r="C891" s="9">
        <v>887.0</v>
      </c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>
      <c r="A892" s="9">
        <v>891.0</v>
      </c>
      <c r="B892" s="9" t="s">
        <v>4358</v>
      </c>
      <c r="C892" s="9">
        <v>887.0</v>
      </c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>
      <c r="A893" s="9">
        <v>892.0</v>
      </c>
      <c r="B893" s="9" t="s">
        <v>4359</v>
      </c>
      <c r="C893" s="9">
        <v>887.0</v>
      </c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>
      <c r="A894" s="9">
        <v>893.0</v>
      </c>
      <c r="B894" s="9" t="s">
        <v>4360</v>
      </c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>
      <c r="A895" s="9">
        <v>894.0</v>
      </c>
      <c r="B895" s="9" t="s">
        <v>4361</v>
      </c>
      <c r="C895" s="9">
        <v>893.0</v>
      </c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>
      <c r="A896" s="9">
        <v>895.0</v>
      </c>
      <c r="B896" s="9" t="s">
        <v>4362</v>
      </c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>
      <c r="A897" s="9">
        <v>896.0</v>
      </c>
      <c r="B897" s="9" t="s">
        <v>4363</v>
      </c>
      <c r="C897" s="9">
        <v>895.0</v>
      </c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>
      <c r="A898" s="9">
        <v>897.0</v>
      </c>
      <c r="B898" s="9" t="s">
        <v>4364</v>
      </c>
      <c r="C898" s="9">
        <v>895.0</v>
      </c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>
      <c r="A899" s="9">
        <v>898.0</v>
      </c>
      <c r="B899" s="9" t="s">
        <v>4365</v>
      </c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>
      <c r="A900" s="9">
        <v>899.0</v>
      </c>
      <c r="B900" s="9" t="s">
        <v>4366</v>
      </c>
      <c r="C900" s="9">
        <v>898.0</v>
      </c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>
      <c r="A901" s="9">
        <v>900.0</v>
      </c>
      <c r="B901" s="9" t="s">
        <v>4367</v>
      </c>
      <c r="C901" s="9">
        <v>898.0</v>
      </c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>
      <c r="A902" s="9">
        <v>901.0</v>
      </c>
      <c r="B902" s="9" t="s">
        <v>4368</v>
      </c>
      <c r="C902" s="9">
        <v>898.0</v>
      </c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>
      <c r="A903" s="9">
        <v>902.0</v>
      </c>
      <c r="B903" s="9" t="s">
        <v>4369</v>
      </c>
      <c r="C903" s="9">
        <v>898.0</v>
      </c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>
      <c r="A904" s="9">
        <v>903.0</v>
      </c>
      <c r="B904" s="9" t="s">
        <v>4370</v>
      </c>
      <c r="C904" s="9">
        <v>898.0</v>
      </c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>
      <c r="A905" s="9">
        <v>904.0</v>
      </c>
      <c r="B905" s="9" t="s">
        <v>4371</v>
      </c>
      <c r="C905" s="9">
        <v>898.0</v>
      </c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>
      <c r="A906" s="9">
        <v>905.0</v>
      </c>
      <c r="B906" s="9" t="s">
        <v>4372</v>
      </c>
      <c r="C906" s="9">
        <v>898.0</v>
      </c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>
      <c r="A907" s="9">
        <v>906.0</v>
      </c>
      <c r="B907" s="9" t="s">
        <v>4373</v>
      </c>
      <c r="C907" s="9">
        <v>898.0</v>
      </c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>
      <c r="A908" s="9">
        <v>907.0</v>
      </c>
      <c r="B908" s="9" t="s">
        <v>4374</v>
      </c>
      <c r="C908" s="9">
        <v>898.0</v>
      </c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>
      <c r="A909" s="9">
        <v>908.0</v>
      </c>
      <c r="B909" s="9" t="s">
        <v>4375</v>
      </c>
      <c r="C909" s="9">
        <v>898.0</v>
      </c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>
      <c r="A910" s="9">
        <v>909.0</v>
      </c>
      <c r="B910" s="9" t="s">
        <v>4376</v>
      </c>
      <c r="C910" s="9">
        <v>898.0</v>
      </c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>
      <c r="A911" s="9">
        <v>910.0</v>
      </c>
      <c r="B911" s="9" t="s">
        <v>4377</v>
      </c>
      <c r="C911" s="9">
        <v>898.0</v>
      </c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>
      <c r="A912" s="9">
        <v>911.0</v>
      </c>
      <c r="B912" s="9" t="s">
        <v>4378</v>
      </c>
      <c r="C912" s="9">
        <v>898.0</v>
      </c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>
      <c r="A913" s="9">
        <v>912.0</v>
      </c>
      <c r="B913" s="9" t="s">
        <v>4379</v>
      </c>
      <c r="C913" s="9">
        <v>898.0</v>
      </c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>
      <c r="A914" s="9">
        <v>913.0</v>
      </c>
      <c r="B914" s="9" t="s">
        <v>4380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>
      <c r="A915" s="9">
        <v>914.0</v>
      </c>
      <c r="B915" s="9" t="s">
        <v>4381</v>
      </c>
      <c r="C915" s="9">
        <v>913.0</v>
      </c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>
      <c r="A916" s="9">
        <v>915.0</v>
      </c>
      <c r="B916" s="9" t="s">
        <v>4382</v>
      </c>
      <c r="C916" s="9">
        <v>913.0</v>
      </c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>
      <c r="A917" s="9">
        <v>916.0</v>
      </c>
      <c r="B917" s="9" t="s">
        <v>4383</v>
      </c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>
      <c r="A918" s="9">
        <v>917.0</v>
      </c>
      <c r="B918" s="9" t="s">
        <v>4384</v>
      </c>
      <c r="C918" s="9">
        <v>916.0</v>
      </c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>
      <c r="A919" s="9">
        <v>918.0</v>
      </c>
      <c r="B919" s="9" t="s">
        <v>4385</v>
      </c>
      <c r="C919" s="9">
        <v>916.0</v>
      </c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>
      <c r="A920" s="9">
        <v>919.0</v>
      </c>
      <c r="B920" s="9" t="s">
        <v>4386</v>
      </c>
      <c r="C920" s="9">
        <v>916.0</v>
      </c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>
      <c r="A921" s="9">
        <v>920.0</v>
      </c>
      <c r="B921" s="9" t="s">
        <v>4387</v>
      </c>
      <c r="C921" s="9">
        <v>916.0</v>
      </c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>
      <c r="A922" s="9">
        <v>921.0</v>
      </c>
      <c r="B922" s="9" t="s">
        <v>4388</v>
      </c>
      <c r="C922" s="9">
        <v>916.0</v>
      </c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>
      <c r="A923" s="9">
        <v>922.0</v>
      </c>
      <c r="B923" s="9" t="s">
        <v>4389</v>
      </c>
      <c r="C923" s="9">
        <v>916.0</v>
      </c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>
      <c r="A924" s="9">
        <v>923.0</v>
      </c>
      <c r="B924" s="9" t="s">
        <v>4390</v>
      </c>
      <c r="C924" s="9">
        <v>916.0</v>
      </c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>
      <c r="A925" s="9">
        <v>924.0</v>
      </c>
      <c r="B925" s="9" t="s">
        <v>4391</v>
      </c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>
      <c r="A926" s="9">
        <v>925.0</v>
      </c>
      <c r="B926" s="9" t="s">
        <v>4392</v>
      </c>
      <c r="C926" s="9">
        <v>924.0</v>
      </c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>
      <c r="A927" s="9">
        <v>926.0</v>
      </c>
      <c r="B927" s="9" t="s">
        <v>4393</v>
      </c>
      <c r="C927" s="9">
        <v>924.0</v>
      </c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>
      <c r="A928" s="9">
        <v>927.0</v>
      </c>
      <c r="B928" s="9" t="s">
        <v>4394</v>
      </c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>
      <c r="A929" s="9">
        <v>928.0</v>
      </c>
      <c r="B929" s="9" t="s">
        <v>4395</v>
      </c>
      <c r="C929" s="9">
        <v>927.0</v>
      </c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>
      <c r="A930" s="9">
        <v>929.0</v>
      </c>
      <c r="B930" s="9" t="s">
        <v>4396</v>
      </c>
      <c r="C930" s="9">
        <v>927.0</v>
      </c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>
      <c r="A931" s="9">
        <v>930.0</v>
      </c>
      <c r="B931" s="9" t="s">
        <v>4397</v>
      </c>
      <c r="C931" s="9">
        <v>927.0</v>
      </c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>
      <c r="A932" s="9">
        <v>931.0</v>
      </c>
      <c r="B932" s="9" t="s">
        <v>4398</v>
      </c>
      <c r="C932" s="9">
        <v>927.0</v>
      </c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>
      <c r="A933" s="9">
        <v>932.0</v>
      </c>
      <c r="B933" s="9" t="s">
        <v>4399</v>
      </c>
      <c r="C933" s="9">
        <v>927.0</v>
      </c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>
      <c r="A934" s="9">
        <v>933.0</v>
      </c>
      <c r="B934" s="9" t="s">
        <v>4400</v>
      </c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>
      <c r="A935" s="9">
        <v>934.0</v>
      </c>
      <c r="B935" s="9" t="s">
        <v>4401</v>
      </c>
      <c r="C935" s="9">
        <v>933.0</v>
      </c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>
      <c r="A936" s="9">
        <v>935.0</v>
      </c>
      <c r="B936" s="9" t="s">
        <v>4402</v>
      </c>
      <c r="C936" s="9">
        <v>933.0</v>
      </c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>
      <c r="A937" s="9">
        <v>936.0</v>
      </c>
      <c r="B937" s="9" t="s">
        <v>4403</v>
      </c>
      <c r="C937" s="9">
        <v>933.0</v>
      </c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>
      <c r="A938" s="9">
        <v>937.0</v>
      </c>
      <c r="B938" s="9" t="s">
        <v>4404</v>
      </c>
      <c r="C938" s="9">
        <v>933.0</v>
      </c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>
      <c r="A939" s="9">
        <v>938.0</v>
      </c>
      <c r="B939" s="9" t="s">
        <v>4405</v>
      </c>
      <c r="C939" s="9">
        <v>933.0</v>
      </c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>
      <c r="A940" s="9">
        <v>939.0</v>
      </c>
      <c r="B940" s="9" t="s">
        <v>4406</v>
      </c>
      <c r="C940" s="9">
        <v>933.0</v>
      </c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>
      <c r="A941" s="9">
        <v>940.0</v>
      </c>
      <c r="B941" s="9" t="s">
        <v>4407</v>
      </c>
      <c r="C941" s="9">
        <v>933.0</v>
      </c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>
      <c r="A942" s="9">
        <v>941.0</v>
      </c>
      <c r="B942" s="9" t="s">
        <v>4408</v>
      </c>
      <c r="C942" s="9">
        <v>933.0</v>
      </c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>
      <c r="A943" s="9">
        <v>942.0</v>
      </c>
      <c r="B943" s="9" t="s">
        <v>4409</v>
      </c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>
      <c r="A944" s="9">
        <v>943.0</v>
      </c>
      <c r="B944" s="9" t="s">
        <v>4410</v>
      </c>
      <c r="C944" s="9">
        <v>942.0</v>
      </c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>
      <c r="A945" s="9">
        <v>944.0</v>
      </c>
      <c r="B945" s="9" t="s">
        <v>4411</v>
      </c>
      <c r="C945" s="9">
        <v>942.0</v>
      </c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>
      <c r="A946" s="9">
        <v>945.0</v>
      </c>
      <c r="B946" s="9" t="s">
        <v>4412</v>
      </c>
      <c r="C946" s="9">
        <v>942.0</v>
      </c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>
      <c r="A947" s="9">
        <v>946.0</v>
      </c>
      <c r="B947" s="9" t="s">
        <v>4413</v>
      </c>
      <c r="C947" s="9">
        <v>942.0</v>
      </c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>
      <c r="A948" s="9">
        <v>947.0</v>
      </c>
      <c r="B948" s="9" t="s">
        <v>4414</v>
      </c>
      <c r="C948" s="9">
        <v>942.0</v>
      </c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>
      <c r="A949" s="9">
        <v>948.0</v>
      </c>
      <c r="B949" s="9" t="s">
        <v>4415</v>
      </c>
      <c r="C949" s="9">
        <v>942.0</v>
      </c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>
      <c r="A950" s="9">
        <v>949.0</v>
      </c>
      <c r="B950" s="9" t="s">
        <v>4416</v>
      </c>
      <c r="C950" s="9">
        <v>942.0</v>
      </c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>
      <c r="A951" s="9">
        <v>950.0</v>
      </c>
      <c r="B951" s="9" t="s">
        <v>4417</v>
      </c>
      <c r="C951" s="9">
        <v>942.0</v>
      </c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>
      <c r="A952" s="9">
        <v>951.0</v>
      </c>
      <c r="B952" s="9" t="s">
        <v>4418</v>
      </c>
      <c r="C952" s="9">
        <v>942.0</v>
      </c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>
      <c r="A953" s="9">
        <v>952.0</v>
      </c>
      <c r="B953" s="9" t="s">
        <v>4419</v>
      </c>
      <c r="C953" s="9">
        <v>942.0</v>
      </c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>
      <c r="A954" s="9">
        <v>953.0</v>
      </c>
      <c r="B954" s="9" t="s">
        <v>4420</v>
      </c>
      <c r="C954" s="9">
        <v>942.0</v>
      </c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>
      <c r="A955" s="9">
        <v>954.0</v>
      </c>
      <c r="B955" s="9" t="s">
        <v>4421</v>
      </c>
      <c r="C955" s="9">
        <v>942.0</v>
      </c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>
      <c r="A956" s="9">
        <v>955.0</v>
      </c>
      <c r="B956" s="9" t="s">
        <v>4422</v>
      </c>
      <c r="C956" s="9">
        <v>942.0</v>
      </c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>
      <c r="A957" s="9">
        <v>956.0</v>
      </c>
      <c r="B957" s="9" t="s">
        <v>4423</v>
      </c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>
      <c r="A958" s="9">
        <v>957.0</v>
      </c>
      <c r="B958" s="9" t="s">
        <v>4424</v>
      </c>
      <c r="C958" s="9">
        <v>956.0</v>
      </c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>
      <c r="A959" s="9">
        <v>958.0</v>
      </c>
      <c r="B959" s="9" t="s">
        <v>4425</v>
      </c>
      <c r="C959" s="9">
        <v>956.0</v>
      </c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>
      <c r="A960" s="9">
        <v>959.0</v>
      </c>
      <c r="B960" s="9" t="s">
        <v>4426</v>
      </c>
      <c r="C960" s="9">
        <v>956.0</v>
      </c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>
      <c r="A961" s="9">
        <v>960.0</v>
      </c>
      <c r="B961" s="9" t="s">
        <v>4427</v>
      </c>
      <c r="C961" s="9">
        <v>956.0</v>
      </c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>
      <c r="A962" s="9">
        <v>961.0</v>
      </c>
      <c r="B962" s="9" t="s">
        <v>4428</v>
      </c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>
      <c r="A963" s="9">
        <v>962.0</v>
      </c>
      <c r="B963" s="9" t="s">
        <v>4429</v>
      </c>
      <c r="C963" s="9">
        <v>961.0</v>
      </c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>
      <c r="A964" s="9">
        <v>963.0</v>
      </c>
      <c r="B964" s="9" t="s">
        <v>4430</v>
      </c>
      <c r="C964" s="9">
        <v>961.0</v>
      </c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>
      <c r="A965" s="9">
        <v>964.0</v>
      </c>
      <c r="B965" s="9" t="s">
        <v>4431</v>
      </c>
      <c r="C965" s="9">
        <v>961.0</v>
      </c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>
      <c r="A966" s="9">
        <v>965.0</v>
      </c>
      <c r="B966" s="9" t="s">
        <v>4432</v>
      </c>
      <c r="C966" s="9">
        <v>961.0</v>
      </c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>
      <c r="A967" s="9">
        <v>966.0</v>
      </c>
      <c r="B967" s="9" t="s">
        <v>4433</v>
      </c>
      <c r="C967" s="9">
        <v>961.0</v>
      </c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>
      <c r="A968" s="9">
        <v>967.0</v>
      </c>
      <c r="B968" s="9" t="s">
        <v>4434</v>
      </c>
      <c r="C968" s="9">
        <v>961.0</v>
      </c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>
      <c r="A969" s="9">
        <v>968.0</v>
      </c>
      <c r="B969" s="9" t="s">
        <v>4435</v>
      </c>
      <c r="C969" s="9">
        <v>961.0</v>
      </c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>
      <c r="A970" s="9">
        <v>969.0</v>
      </c>
      <c r="B970" s="9" t="s">
        <v>4436</v>
      </c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>
      <c r="A971" s="9">
        <v>970.0</v>
      </c>
      <c r="B971" s="9" t="s">
        <v>4437</v>
      </c>
      <c r="C971" s="9">
        <v>969.0</v>
      </c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>
      <c r="A972" s="9">
        <v>971.0</v>
      </c>
      <c r="B972" s="9" t="s">
        <v>4438</v>
      </c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>
      <c r="A973" s="9">
        <v>972.0</v>
      </c>
      <c r="B973" s="9" t="s">
        <v>4439</v>
      </c>
      <c r="C973" s="9">
        <v>971.0</v>
      </c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>
      <c r="A974" s="9">
        <v>973.0</v>
      </c>
      <c r="B974" s="9" t="s">
        <v>4440</v>
      </c>
      <c r="C974" s="9">
        <v>971.0</v>
      </c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>
      <c r="A975" s="9">
        <v>974.0</v>
      </c>
      <c r="B975" s="9" t="s">
        <v>4441</v>
      </c>
      <c r="C975" s="9">
        <v>971.0</v>
      </c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>
      <c r="A976" s="9">
        <v>975.0</v>
      </c>
      <c r="B976" s="9" t="s">
        <v>4442</v>
      </c>
      <c r="C976" s="9">
        <v>971.0</v>
      </c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>
      <c r="A977" s="9">
        <v>976.0</v>
      </c>
      <c r="B977" s="9" t="s">
        <v>4443</v>
      </c>
      <c r="C977" s="9">
        <v>971.0</v>
      </c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>
      <c r="A978" s="9">
        <v>977.0</v>
      </c>
      <c r="B978" s="9" t="s">
        <v>4444</v>
      </c>
      <c r="C978" s="9">
        <v>971.0</v>
      </c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>
      <c r="A979" s="9">
        <v>978.0</v>
      </c>
      <c r="B979" s="9" t="s">
        <v>4445</v>
      </c>
      <c r="C979" s="9">
        <v>971.0</v>
      </c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>
      <c r="A980" s="9">
        <v>979.0</v>
      </c>
      <c r="B980" s="9" t="s">
        <v>4446</v>
      </c>
      <c r="C980" s="9">
        <v>971.0</v>
      </c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>
      <c r="A981" s="9">
        <v>980.0</v>
      </c>
      <c r="B981" s="9" t="s">
        <v>4447</v>
      </c>
      <c r="C981" s="9">
        <v>971.0</v>
      </c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>
      <c r="A982" s="9">
        <v>981.0</v>
      </c>
      <c r="B982" s="9" t="s">
        <v>4448</v>
      </c>
      <c r="C982" s="9">
        <v>971.0</v>
      </c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>
      <c r="A983" s="9">
        <v>982.0</v>
      </c>
      <c r="B983" s="9" t="s">
        <v>4449</v>
      </c>
      <c r="C983" s="9">
        <v>971.0</v>
      </c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  <row r="984">
      <c r="A984" s="9">
        <v>983.0</v>
      </c>
      <c r="B984" s="9" t="s">
        <v>4450</v>
      </c>
      <c r="C984" s="9">
        <v>971.0</v>
      </c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</row>
    <row r="985">
      <c r="A985" s="9">
        <v>984.0</v>
      </c>
      <c r="B985" s="9" t="s">
        <v>4451</v>
      </c>
      <c r="C985" s="9">
        <v>971.0</v>
      </c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</row>
    <row r="986">
      <c r="A986" s="9">
        <v>985.0</v>
      </c>
      <c r="B986" s="9" t="s">
        <v>4452</v>
      </c>
      <c r="C986" s="9">
        <v>971.0</v>
      </c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</row>
    <row r="987">
      <c r="A987" s="9">
        <v>986.0</v>
      </c>
      <c r="B987" s="9" t="s">
        <v>4453</v>
      </c>
      <c r="C987" s="9">
        <v>971.0</v>
      </c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</row>
    <row r="988">
      <c r="A988" s="9">
        <v>987.0</v>
      </c>
      <c r="B988" s="9" t="s">
        <v>4454</v>
      </c>
      <c r="C988" s="9">
        <v>971.0</v>
      </c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</row>
    <row r="989">
      <c r="A989" s="9">
        <v>988.0</v>
      </c>
      <c r="B989" s="9" t="s">
        <v>4455</v>
      </c>
      <c r="C989" s="9">
        <v>971.0</v>
      </c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</row>
    <row r="990">
      <c r="A990" s="9">
        <v>989.0</v>
      </c>
      <c r="B990" s="9" t="s">
        <v>4456</v>
      </c>
      <c r="C990" s="9">
        <v>971.0</v>
      </c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</row>
    <row r="991">
      <c r="A991" s="9">
        <v>990.0</v>
      </c>
      <c r="B991" s="9" t="s">
        <v>4457</v>
      </c>
      <c r="C991" s="9">
        <v>971.0</v>
      </c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</row>
    <row r="992">
      <c r="A992" s="9">
        <v>991.0</v>
      </c>
      <c r="B992" s="9" t="s">
        <v>4458</v>
      </c>
      <c r="C992" s="9">
        <v>971.0</v>
      </c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</row>
    <row r="993">
      <c r="A993" s="9">
        <v>992.0</v>
      </c>
      <c r="B993" s="9" t="s">
        <v>4459</v>
      </c>
      <c r="C993" s="9">
        <v>971.0</v>
      </c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</row>
    <row r="994">
      <c r="A994" s="9">
        <v>993.0</v>
      </c>
      <c r="B994" s="9" t="s">
        <v>4460</v>
      </c>
      <c r="C994" s="9">
        <v>971.0</v>
      </c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</row>
    <row r="995">
      <c r="A995" s="9">
        <v>994.0</v>
      </c>
      <c r="B995" s="9" t="s">
        <v>4461</v>
      </c>
      <c r="C995" s="9">
        <v>971.0</v>
      </c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</row>
    <row r="996">
      <c r="A996" s="9">
        <v>995.0</v>
      </c>
      <c r="B996" s="9" t="s">
        <v>4462</v>
      </c>
      <c r="C996" s="9">
        <v>971.0</v>
      </c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</row>
    <row r="997">
      <c r="A997" s="9">
        <v>996.0</v>
      </c>
      <c r="B997" s="9" t="s">
        <v>4463</v>
      </c>
      <c r="C997" s="9">
        <v>971.0</v>
      </c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</row>
    <row r="998">
      <c r="A998" s="9">
        <v>997.0</v>
      </c>
      <c r="B998" s="9" t="s">
        <v>4464</v>
      </c>
      <c r="C998" s="9">
        <v>971.0</v>
      </c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</row>
    <row r="999">
      <c r="A999" s="9">
        <v>998.0</v>
      </c>
      <c r="B999" s="9" t="s">
        <v>4465</v>
      </c>
      <c r="C999" s="9">
        <v>971.0</v>
      </c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</row>
    <row r="1000">
      <c r="A1000" s="9">
        <v>999.0</v>
      </c>
      <c r="B1000" s="9" t="s">
        <v>4466</v>
      </c>
      <c r="C1000" s="9">
        <v>971.0</v>
      </c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</row>
    <row r="1001">
      <c r="A1001" s="9">
        <v>1000.0</v>
      </c>
      <c r="B1001" s="9" t="s">
        <v>4467</v>
      </c>
      <c r="C1001" s="9">
        <v>971.0</v>
      </c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</row>
    <row r="1002">
      <c r="A1002" s="9">
        <v>1001.0</v>
      </c>
      <c r="B1002" s="9" t="s">
        <v>4468</v>
      </c>
      <c r="C1002" s="9">
        <v>971.0</v>
      </c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</row>
    <row r="1003">
      <c r="A1003" s="9">
        <v>1002.0</v>
      </c>
      <c r="B1003" s="9" t="s">
        <v>4469</v>
      </c>
      <c r="C1003" s="9">
        <v>971.0</v>
      </c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</row>
    <row r="1004">
      <c r="A1004" s="9">
        <v>1003.0</v>
      </c>
      <c r="B1004" s="9" t="s">
        <v>4470</v>
      </c>
      <c r="C1004" s="9">
        <v>971.0</v>
      </c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</row>
    <row r="1005">
      <c r="A1005" s="9">
        <v>1004.0</v>
      </c>
      <c r="B1005" s="9" t="s">
        <v>4471</v>
      </c>
      <c r="C1005" s="9">
        <v>971.0</v>
      </c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</row>
    <row r="1006">
      <c r="A1006" s="9">
        <v>1005.0</v>
      </c>
      <c r="B1006" s="9" t="s">
        <v>4472</v>
      </c>
      <c r="C1006" s="9">
        <v>971.0</v>
      </c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</row>
    <row r="1007">
      <c r="A1007" s="9">
        <v>1006.0</v>
      </c>
      <c r="B1007" s="9" t="s">
        <v>4473</v>
      </c>
      <c r="C1007" s="9">
        <v>971.0</v>
      </c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</row>
    <row r="1008">
      <c r="A1008" s="9">
        <v>1007.0</v>
      </c>
      <c r="B1008" s="9" t="s">
        <v>4474</v>
      </c>
      <c r="C1008" s="9">
        <v>971.0</v>
      </c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</row>
    <row r="1009">
      <c r="A1009" s="9">
        <v>1008.0</v>
      </c>
      <c r="B1009" s="9" t="s">
        <v>4475</v>
      </c>
      <c r="C1009" s="9">
        <v>971.0</v>
      </c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</row>
    <row r="1010">
      <c r="A1010" s="9">
        <v>1009.0</v>
      </c>
      <c r="B1010" s="9" t="s">
        <v>4476</v>
      </c>
      <c r="C1010" s="9">
        <v>971.0</v>
      </c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</row>
    <row r="1011">
      <c r="A1011" s="9">
        <v>1010.0</v>
      </c>
      <c r="B1011" s="9" t="s">
        <v>4477</v>
      </c>
      <c r="C1011" s="9">
        <v>971.0</v>
      </c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</row>
    <row r="1012">
      <c r="A1012" s="9">
        <v>1011.0</v>
      </c>
      <c r="B1012" s="9" t="s">
        <v>4478</v>
      </c>
      <c r="C1012" s="9">
        <v>971.0</v>
      </c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</row>
    <row r="1013">
      <c r="A1013" s="9">
        <v>1012.0</v>
      </c>
      <c r="B1013" s="9" t="s">
        <v>4479</v>
      </c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</row>
    <row r="1014">
      <c r="A1014" s="9">
        <v>1013.0</v>
      </c>
      <c r="B1014" s="9" t="s">
        <v>4480</v>
      </c>
      <c r="C1014" s="9">
        <v>1012.0</v>
      </c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</row>
    <row r="1015">
      <c r="A1015" s="9">
        <v>1014.0</v>
      </c>
      <c r="B1015" s="9" t="s">
        <v>4481</v>
      </c>
      <c r="C1015" s="9">
        <v>1012.0</v>
      </c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</row>
    <row r="1016">
      <c r="A1016" s="9">
        <v>1015.0</v>
      </c>
      <c r="B1016" s="9" t="s">
        <v>4482</v>
      </c>
      <c r="C1016" s="9">
        <v>1012.0</v>
      </c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</row>
    <row r="1017">
      <c r="A1017" s="9">
        <v>1016.0</v>
      </c>
      <c r="B1017" s="9" t="s">
        <v>4483</v>
      </c>
      <c r="C1017" s="9">
        <v>1012.0</v>
      </c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</row>
    <row r="1018">
      <c r="A1018" s="9">
        <v>1017.0</v>
      </c>
      <c r="B1018" s="9" t="s">
        <v>4484</v>
      </c>
      <c r="C1018" s="9">
        <v>1012.0</v>
      </c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</row>
    <row r="1019">
      <c r="A1019" s="9">
        <v>1018.0</v>
      </c>
      <c r="B1019" s="9" t="s">
        <v>4485</v>
      </c>
      <c r="C1019" s="9">
        <v>1012.0</v>
      </c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</row>
    <row r="1020">
      <c r="A1020" s="9">
        <v>1019.0</v>
      </c>
      <c r="B1020" s="9" t="s">
        <v>4486</v>
      </c>
      <c r="C1020" s="9">
        <v>1012.0</v>
      </c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</row>
    <row r="1021">
      <c r="A1021" s="9">
        <v>1020.0</v>
      </c>
      <c r="B1021" s="9" t="s">
        <v>4487</v>
      </c>
      <c r="C1021" s="9">
        <v>1012.0</v>
      </c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</row>
    <row r="1022">
      <c r="A1022" s="9">
        <v>1021.0</v>
      </c>
      <c r="B1022" s="9" t="s">
        <v>4488</v>
      </c>
      <c r="C1022" s="9">
        <v>1012.0</v>
      </c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</row>
    <row r="1023">
      <c r="A1023" s="9">
        <v>1022.0</v>
      </c>
      <c r="B1023" s="9" t="s">
        <v>4489</v>
      </c>
      <c r="C1023" s="9">
        <v>1012.0</v>
      </c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</row>
    <row r="1024">
      <c r="A1024" s="9">
        <v>1023.0</v>
      </c>
      <c r="B1024" s="9" t="s">
        <v>4490</v>
      </c>
      <c r="C1024" s="9">
        <v>1012.0</v>
      </c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</row>
    <row r="1025">
      <c r="A1025" s="9">
        <v>1024.0</v>
      </c>
      <c r="B1025" s="9" t="s">
        <v>4491</v>
      </c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</row>
    <row r="1026">
      <c r="A1026" s="9">
        <v>1025.0</v>
      </c>
      <c r="B1026" s="9" t="s">
        <v>4492</v>
      </c>
      <c r="C1026" s="9">
        <v>1024.0</v>
      </c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</row>
    <row r="1027">
      <c r="A1027" s="9">
        <v>1026.0</v>
      </c>
      <c r="B1027" s="9" t="s">
        <v>4493</v>
      </c>
      <c r="C1027" s="9">
        <v>1024.0</v>
      </c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</row>
    <row r="1028">
      <c r="A1028" s="9">
        <v>1027.0</v>
      </c>
      <c r="B1028" s="9" t="s">
        <v>4494</v>
      </c>
      <c r="C1028" s="9">
        <v>1024.0</v>
      </c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</row>
    <row r="1029">
      <c r="A1029" s="9">
        <v>1028.0</v>
      </c>
      <c r="B1029" s="9" t="s">
        <v>4495</v>
      </c>
      <c r="C1029" s="9">
        <v>1024.0</v>
      </c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</row>
    <row r="1030">
      <c r="A1030" s="9">
        <v>1029.0</v>
      </c>
      <c r="B1030" s="9" t="s">
        <v>4496</v>
      </c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</row>
    <row r="1031">
      <c r="A1031" s="9">
        <v>1030.0</v>
      </c>
      <c r="B1031" s="9" t="s">
        <v>4497</v>
      </c>
      <c r="C1031" s="9">
        <v>1029.0</v>
      </c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</row>
    <row r="1032">
      <c r="A1032" s="9">
        <v>1031.0</v>
      </c>
      <c r="B1032" s="9" t="s">
        <v>4498</v>
      </c>
      <c r="C1032" s="9">
        <v>1029.0</v>
      </c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</row>
    <row r="1033">
      <c r="A1033" s="9">
        <v>1032.0</v>
      </c>
      <c r="B1033" s="9" t="s">
        <v>4499</v>
      </c>
      <c r="C1033" s="9">
        <v>1029.0</v>
      </c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</row>
    <row r="1034">
      <c r="A1034" s="9">
        <v>1033.0</v>
      </c>
      <c r="B1034" s="9" t="s">
        <v>4500</v>
      </c>
      <c r="C1034" s="9">
        <v>1029.0</v>
      </c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</row>
    <row r="1035">
      <c r="A1035" s="9">
        <v>1034.0</v>
      </c>
      <c r="B1035" s="9" t="s">
        <v>4501</v>
      </c>
      <c r="C1035" s="9">
        <v>1029.0</v>
      </c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</row>
    <row r="1036">
      <c r="A1036" s="9">
        <v>1035.0</v>
      </c>
      <c r="B1036" s="9" t="s">
        <v>4502</v>
      </c>
      <c r="C1036" s="9">
        <v>1029.0</v>
      </c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</row>
    <row r="1037">
      <c r="A1037" s="9">
        <v>1036.0</v>
      </c>
      <c r="B1037" s="9" t="s">
        <v>4503</v>
      </c>
      <c r="C1037" s="9">
        <v>1029.0</v>
      </c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</row>
    <row r="1038">
      <c r="A1038" s="9">
        <v>1037.0</v>
      </c>
      <c r="B1038" s="9" t="s">
        <v>4504</v>
      </c>
      <c r="C1038" s="9">
        <v>1029.0</v>
      </c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</row>
    <row r="1039">
      <c r="A1039" s="9">
        <v>1038.0</v>
      </c>
      <c r="B1039" s="9" t="s">
        <v>4505</v>
      </c>
      <c r="C1039" s="9">
        <v>1029.0</v>
      </c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</row>
    <row r="1040">
      <c r="A1040" s="9">
        <v>1039.0</v>
      </c>
      <c r="B1040" s="9" t="s">
        <v>4506</v>
      </c>
      <c r="C1040" s="9">
        <v>1029.0</v>
      </c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</row>
    <row r="1041">
      <c r="A1041" s="9">
        <v>1040.0</v>
      </c>
      <c r="B1041" s="9" t="s">
        <v>4507</v>
      </c>
      <c r="C1041" s="9">
        <v>1029.0</v>
      </c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</row>
    <row r="1042">
      <c r="A1042" s="9">
        <v>1041.0</v>
      </c>
      <c r="B1042" s="9" t="s">
        <v>4508</v>
      </c>
      <c r="C1042" s="9">
        <v>1029.0</v>
      </c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</row>
    <row r="1043">
      <c r="A1043" s="9">
        <v>1042.0</v>
      </c>
      <c r="B1043" s="9" t="s">
        <v>4509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</row>
    <row r="1044">
      <c r="A1044" s="9">
        <v>1043.0</v>
      </c>
      <c r="B1044" s="9" t="s">
        <v>4510</v>
      </c>
      <c r="C1044" s="9">
        <v>1042.0</v>
      </c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</row>
    <row r="1045">
      <c r="A1045" s="9">
        <v>1044.0</v>
      </c>
      <c r="B1045" s="9" t="s">
        <v>4511</v>
      </c>
      <c r="C1045" s="9">
        <v>1042.0</v>
      </c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</row>
    <row r="1046">
      <c r="A1046" s="9">
        <v>1045.0</v>
      </c>
      <c r="B1046" s="9" t="s">
        <v>4512</v>
      </c>
      <c r="C1046" s="9">
        <v>1042.0</v>
      </c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</row>
    <row r="1047">
      <c r="A1047" s="9">
        <v>1046.0</v>
      </c>
      <c r="B1047" s="9" t="s">
        <v>4513</v>
      </c>
      <c r="C1047" s="9">
        <v>1042.0</v>
      </c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</row>
    <row r="1048">
      <c r="A1048" s="9">
        <v>1047.0</v>
      </c>
      <c r="B1048" s="9" t="s">
        <v>4514</v>
      </c>
      <c r="C1048" s="9">
        <v>1042.0</v>
      </c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</row>
    <row r="1049">
      <c r="A1049" s="9">
        <v>1048.0</v>
      </c>
      <c r="B1049" s="9" t="s">
        <v>4515</v>
      </c>
      <c r="C1049" s="9">
        <v>1042.0</v>
      </c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</row>
    <row r="1050">
      <c r="A1050" s="9">
        <v>1049.0</v>
      </c>
      <c r="B1050" s="9" t="s">
        <v>4516</v>
      </c>
      <c r="C1050" s="9">
        <v>1042.0</v>
      </c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</row>
    <row r="1051">
      <c r="A1051" s="9">
        <v>1050.0</v>
      </c>
      <c r="B1051" s="9" t="s">
        <v>4517</v>
      </c>
      <c r="C1051" s="9">
        <v>1042.0</v>
      </c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</row>
    <row r="1052">
      <c r="A1052" s="9">
        <v>1051.0</v>
      </c>
      <c r="B1052" s="9" t="s">
        <v>4518</v>
      </c>
      <c r="C1052" s="9">
        <v>1042.0</v>
      </c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</row>
    <row r="1053">
      <c r="A1053" s="9">
        <v>1052.0</v>
      </c>
      <c r="B1053" s="9" t="s">
        <v>4519</v>
      </c>
      <c r="C1053" s="9">
        <v>1042.0</v>
      </c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</row>
    <row r="1054">
      <c r="A1054" s="9">
        <v>1053.0</v>
      </c>
      <c r="B1054" s="9" t="s">
        <v>4520</v>
      </c>
      <c r="C1054" s="9">
        <v>1042.0</v>
      </c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</row>
    <row r="1055">
      <c r="A1055" s="9">
        <v>1054.0</v>
      </c>
      <c r="B1055" s="9" t="s">
        <v>4521</v>
      </c>
      <c r="C1055" s="9">
        <v>1042.0</v>
      </c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</row>
    <row r="1056">
      <c r="A1056" s="9">
        <v>1055.0</v>
      </c>
      <c r="B1056" s="9" t="s">
        <v>4522</v>
      </c>
      <c r="C1056" s="9">
        <v>1042.0</v>
      </c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</row>
    <row r="1057">
      <c r="A1057" s="9">
        <v>1056.0</v>
      </c>
      <c r="B1057" s="9" t="s">
        <v>4523</v>
      </c>
      <c r="C1057" s="9">
        <v>1042.0</v>
      </c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</row>
    <row r="1058">
      <c r="A1058" s="9">
        <v>1057.0</v>
      </c>
      <c r="B1058" s="9" t="s">
        <v>4524</v>
      </c>
      <c r="C1058" s="9">
        <v>1042.0</v>
      </c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</row>
    <row r="1059">
      <c r="A1059" s="9">
        <v>1058.0</v>
      </c>
      <c r="B1059" s="9" t="s">
        <v>4525</v>
      </c>
      <c r="C1059" s="9">
        <v>1042.0</v>
      </c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</row>
    <row r="1060">
      <c r="A1060" s="9">
        <v>1059.0</v>
      </c>
      <c r="B1060" s="9" t="s">
        <v>4526</v>
      </c>
      <c r="C1060" s="9">
        <v>1042.0</v>
      </c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</row>
    <row r="1061">
      <c r="A1061" s="9">
        <v>1060.0</v>
      </c>
      <c r="B1061" s="9" t="s">
        <v>4527</v>
      </c>
      <c r="C1061" s="9">
        <v>1042.0</v>
      </c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</row>
    <row r="1062">
      <c r="A1062" s="9">
        <v>1061.0</v>
      </c>
      <c r="B1062" s="9" t="s">
        <v>4528</v>
      </c>
      <c r="C1062" s="9">
        <v>1042.0</v>
      </c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</row>
    <row r="1063">
      <c r="A1063" s="9">
        <v>1062.0</v>
      </c>
      <c r="B1063" s="9" t="s">
        <v>4529</v>
      </c>
      <c r="C1063" s="9">
        <v>1042.0</v>
      </c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</row>
    <row r="1064">
      <c r="A1064" s="9">
        <v>1063.0</v>
      </c>
      <c r="B1064" s="9" t="s">
        <v>4530</v>
      </c>
      <c r="C1064" s="9">
        <v>1042.0</v>
      </c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</row>
    <row r="1065">
      <c r="A1065" s="9">
        <v>1064.0</v>
      </c>
      <c r="B1065" s="9" t="s">
        <v>4531</v>
      </c>
      <c r="C1065" s="9">
        <v>1042.0</v>
      </c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</row>
    <row r="1066">
      <c r="A1066" s="9">
        <v>1065.0</v>
      </c>
      <c r="B1066" s="9" t="s">
        <v>4532</v>
      </c>
      <c r="C1066" s="9">
        <v>1042.0</v>
      </c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</row>
    <row r="1067">
      <c r="A1067" s="9">
        <v>1066.0</v>
      </c>
      <c r="B1067" s="9" t="s">
        <v>4533</v>
      </c>
      <c r="C1067" s="9">
        <v>1042.0</v>
      </c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</row>
    <row r="1068">
      <c r="A1068" s="9">
        <v>1067.0</v>
      </c>
      <c r="B1068" s="9" t="s">
        <v>4534</v>
      </c>
      <c r="C1068" s="9">
        <v>1042.0</v>
      </c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</row>
    <row r="1069">
      <c r="A1069" s="9">
        <v>1068.0</v>
      </c>
      <c r="B1069" s="9" t="s">
        <v>4535</v>
      </c>
      <c r="C1069" s="9">
        <v>1042.0</v>
      </c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</row>
    <row r="1070">
      <c r="A1070" s="9">
        <v>1069.0</v>
      </c>
      <c r="B1070" s="9" t="s">
        <v>4536</v>
      </c>
      <c r="C1070" s="9">
        <v>1042.0</v>
      </c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</row>
    <row r="1071">
      <c r="A1071" s="9">
        <v>1070.0</v>
      </c>
      <c r="B1071" s="9" t="s">
        <v>4537</v>
      </c>
      <c r="C1071" s="9">
        <v>1042.0</v>
      </c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</row>
    <row r="1072">
      <c r="A1072" s="9">
        <v>1071.0</v>
      </c>
      <c r="B1072" s="9" t="s">
        <v>4538</v>
      </c>
      <c r="C1072" s="9">
        <v>1042.0</v>
      </c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</row>
    <row r="1073">
      <c r="A1073" s="9">
        <v>1072.0</v>
      </c>
      <c r="B1073" s="9" t="s">
        <v>4539</v>
      </c>
      <c r="C1073" s="9">
        <v>1042.0</v>
      </c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</row>
    <row r="1074">
      <c r="A1074" s="9">
        <v>1073.0</v>
      </c>
      <c r="B1074" s="9" t="s">
        <v>4540</v>
      </c>
      <c r="C1074" s="9">
        <v>1042.0</v>
      </c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</row>
    <row r="1075">
      <c r="A1075" s="9">
        <v>1074.0</v>
      </c>
      <c r="B1075" s="9" t="s">
        <v>4541</v>
      </c>
      <c r="C1075" s="9">
        <v>1042.0</v>
      </c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</row>
    <row r="1076">
      <c r="A1076" s="9">
        <v>1075.0</v>
      </c>
      <c r="B1076" s="9" t="s">
        <v>4542</v>
      </c>
      <c r="C1076" s="9">
        <v>1042.0</v>
      </c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</row>
    <row r="1077">
      <c r="A1077" s="9">
        <v>1076.0</v>
      </c>
      <c r="B1077" s="9" t="s">
        <v>4543</v>
      </c>
      <c r="C1077" s="9">
        <v>1042.0</v>
      </c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</row>
    <row r="1078">
      <c r="A1078" s="9">
        <v>1077.0</v>
      </c>
      <c r="B1078" s="9" t="s">
        <v>4544</v>
      </c>
      <c r="C1078" s="9">
        <v>1042.0</v>
      </c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</row>
    <row r="1079">
      <c r="A1079" s="9">
        <v>1078.0</v>
      </c>
      <c r="B1079" s="9" t="s">
        <v>4545</v>
      </c>
      <c r="C1079" s="9">
        <v>1042.0</v>
      </c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</row>
    <row r="1080">
      <c r="A1080" s="9">
        <v>1079.0</v>
      </c>
      <c r="B1080" s="9" t="s">
        <v>4546</v>
      </c>
      <c r="C1080" s="9">
        <v>1042.0</v>
      </c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</row>
    <row r="1081">
      <c r="A1081" s="9">
        <v>1080.0</v>
      </c>
      <c r="B1081" s="9" t="s">
        <v>4547</v>
      </c>
      <c r="C1081" s="9">
        <v>1042.0</v>
      </c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</row>
    <row r="1082">
      <c r="A1082" s="9">
        <v>1081.0</v>
      </c>
      <c r="B1082" s="9" t="s">
        <v>4548</v>
      </c>
      <c r="C1082" s="9">
        <v>1042.0</v>
      </c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</row>
    <row r="1083">
      <c r="A1083" s="9">
        <v>1082.0</v>
      </c>
      <c r="B1083" s="9" t="s">
        <v>4549</v>
      </c>
      <c r="C1083" s="9">
        <v>1042.0</v>
      </c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</row>
    <row r="1084">
      <c r="A1084" s="9">
        <v>1083.0</v>
      </c>
      <c r="B1084" s="9" t="s">
        <v>4550</v>
      </c>
      <c r="C1084" s="9">
        <v>1042.0</v>
      </c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</row>
    <row r="1085">
      <c r="A1085" s="9">
        <v>1084.0</v>
      </c>
      <c r="B1085" s="9" t="s">
        <v>4551</v>
      </c>
      <c r="C1085" s="9">
        <v>1042.0</v>
      </c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</row>
    <row r="1086">
      <c r="A1086" s="9">
        <v>1085.0</v>
      </c>
      <c r="B1086" s="9" t="s">
        <v>4552</v>
      </c>
      <c r="C1086" s="9">
        <v>1042.0</v>
      </c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</row>
    <row r="1087">
      <c r="A1087" s="9">
        <v>1086.0</v>
      </c>
      <c r="B1087" s="9" t="s">
        <v>4553</v>
      </c>
      <c r="C1087" s="9">
        <v>1042.0</v>
      </c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</row>
    <row r="1088">
      <c r="A1088" s="9">
        <v>1087.0</v>
      </c>
      <c r="B1088" s="9" t="s">
        <v>4554</v>
      </c>
      <c r="C1088" s="9">
        <v>1042.0</v>
      </c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</row>
    <row r="1089">
      <c r="A1089" s="9">
        <v>1088.0</v>
      </c>
      <c r="B1089" s="9" t="s">
        <v>4555</v>
      </c>
      <c r="C1089" s="9">
        <v>1042.0</v>
      </c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</row>
    <row r="1090">
      <c r="A1090" s="9">
        <v>1089.0</v>
      </c>
      <c r="B1090" s="9" t="s">
        <v>4556</v>
      </c>
      <c r="C1090" s="9">
        <v>1042.0</v>
      </c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</row>
    <row r="1091">
      <c r="A1091" s="9">
        <v>1090.0</v>
      </c>
      <c r="B1091" s="9" t="s">
        <v>4557</v>
      </c>
      <c r="C1091" s="9">
        <v>1042.0</v>
      </c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</row>
    <row r="1092">
      <c r="A1092" s="9">
        <v>1091.0</v>
      </c>
      <c r="B1092" s="9" t="s">
        <v>4558</v>
      </c>
      <c r="C1092" s="9">
        <v>1042.0</v>
      </c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</row>
    <row r="1093">
      <c r="A1093" s="9">
        <v>1092.0</v>
      </c>
      <c r="B1093" s="9" t="s">
        <v>4559</v>
      </c>
      <c r="C1093" s="9">
        <v>1042.0</v>
      </c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</row>
    <row r="1094">
      <c r="A1094" s="9">
        <v>1093.0</v>
      </c>
      <c r="B1094" s="9" t="s">
        <v>4560</v>
      </c>
      <c r="C1094" s="9">
        <v>1042.0</v>
      </c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</row>
    <row r="1095">
      <c r="A1095" s="9">
        <v>1094.0</v>
      </c>
      <c r="B1095" s="9" t="s">
        <v>4561</v>
      </c>
      <c r="C1095" s="9">
        <v>1042.0</v>
      </c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</row>
    <row r="1096">
      <c r="A1096" s="9">
        <v>1095.0</v>
      </c>
      <c r="B1096" s="9" t="s">
        <v>4562</v>
      </c>
      <c r="C1096" s="9">
        <v>1042.0</v>
      </c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</row>
    <row r="1097">
      <c r="A1097" s="9">
        <v>1096.0</v>
      </c>
      <c r="B1097" s="9" t="s">
        <v>4563</v>
      </c>
      <c r="C1097" s="9">
        <v>1042.0</v>
      </c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</row>
    <row r="1098">
      <c r="A1098" s="9">
        <v>1097.0</v>
      </c>
      <c r="B1098" s="9" t="s">
        <v>4564</v>
      </c>
      <c r="C1098" s="9">
        <v>1042.0</v>
      </c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</row>
    <row r="1099">
      <c r="A1099" s="9">
        <v>1098.0</v>
      </c>
      <c r="B1099" s="9" t="s">
        <v>4565</v>
      </c>
      <c r="C1099" s="9">
        <v>1042.0</v>
      </c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</row>
    <row r="1100">
      <c r="A1100" s="9">
        <v>1099.0</v>
      </c>
      <c r="B1100" s="9" t="s">
        <v>4566</v>
      </c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</row>
    <row r="1101">
      <c r="A1101" s="9">
        <v>1100.0</v>
      </c>
      <c r="B1101" s="9" t="s">
        <v>4567</v>
      </c>
      <c r="C1101" s="9">
        <v>1099.0</v>
      </c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</row>
    <row r="1102">
      <c r="A1102" s="9">
        <v>1101.0</v>
      </c>
      <c r="B1102" s="9" t="s">
        <v>4568</v>
      </c>
      <c r="C1102" s="9">
        <v>1099.0</v>
      </c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</row>
    <row r="1103">
      <c r="A1103" s="9">
        <v>1102.0</v>
      </c>
      <c r="B1103" s="9" t="s">
        <v>4569</v>
      </c>
      <c r="C1103" s="9">
        <v>1099.0</v>
      </c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</row>
    <row r="1104">
      <c r="A1104" s="9">
        <v>1103.0</v>
      </c>
      <c r="B1104" s="9" t="s">
        <v>4570</v>
      </c>
      <c r="C1104" s="9">
        <v>1099.0</v>
      </c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</row>
    <row r="1105">
      <c r="A1105" s="9">
        <v>1104.0</v>
      </c>
      <c r="B1105" s="9" t="s">
        <v>4571</v>
      </c>
      <c r="C1105" s="9">
        <v>1099.0</v>
      </c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</row>
    <row r="1106">
      <c r="A1106" s="9">
        <v>1105.0</v>
      </c>
      <c r="B1106" s="9" t="s">
        <v>4572</v>
      </c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</row>
    <row r="1107">
      <c r="A1107" s="9">
        <v>1106.0</v>
      </c>
      <c r="B1107" s="9" t="s">
        <v>4573</v>
      </c>
      <c r="C1107" s="9">
        <v>1105.0</v>
      </c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</row>
    <row r="1108">
      <c r="A1108" s="9">
        <v>1107.0</v>
      </c>
      <c r="B1108" s="9" t="s">
        <v>4574</v>
      </c>
      <c r="C1108" s="9">
        <v>1105.0</v>
      </c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</row>
    <row r="1109">
      <c r="A1109" s="9">
        <v>1108.0</v>
      </c>
      <c r="B1109" s="9" t="s">
        <v>4575</v>
      </c>
      <c r="C1109" s="9">
        <v>1105.0</v>
      </c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</row>
    <row r="1110">
      <c r="A1110" s="9">
        <v>1109.0</v>
      </c>
      <c r="B1110" s="9" t="s">
        <v>4576</v>
      </c>
      <c r="C1110" s="9">
        <v>1105.0</v>
      </c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</row>
    <row r="1111">
      <c r="A1111" s="9">
        <v>1110.0</v>
      </c>
      <c r="B1111" s="9" t="s">
        <v>4577</v>
      </c>
      <c r="C1111" s="9">
        <v>1105.0</v>
      </c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</row>
    <row r="1112">
      <c r="A1112" s="9">
        <v>1111.0</v>
      </c>
      <c r="B1112" s="9" t="s">
        <v>4578</v>
      </c>
      <c r="C1112" s="9">
        <v>1105.0</v>
      </c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</row>
    <row r="1113">
      <c r="A1113" s="9">
        <v>1112.0</v>
      </c>
      <c r="B1113" s="9" t="s">
        <v>4579</v>
      </c>
      <c r="C1113" s="9">
        <v>1105.0</v>
      </c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</row>
    <row r="1114">
      <c r="A1114" s="9">
        <v>1113.0</v>
      </c>
      <c r="B1114" s="9" t="s">
        <v>4580</v>
      </c>
      <c r="C1114" s="9">
        <v>1105.0</v>
      </c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</row>
    <row r="1115">
      <c r="A1115" s="9">
        <v>1114.0</v>
      </c>
      <c r="B1115" s="9" t="s">
        <v>4581</v>
      </c>
      <c r="C1115" s="9">
        <v>1105.0</v>
      </c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</row>
    <row r="1116">
      <c r="A1116" s="9">
        <v>1115.0</v>
      </c>
      <c r="B1116" s="9" t="s">
        <v>4582</v>
      </c>
      <c r="C1116" s="9">
        <v>1105.0</v>
      </c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</row>
    <row r="1117">
      <c r="A1117" s="9">
        <v>1116.0</v>
      </c>
      <c r="B1117" s="9" t="s">
        <v>4583</v>
      </c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</row>
    <row r="1118">
      <c r="A1118" s="9">
        <v>1117.0</v>
      </c>
      <c r="B1118" s="9" t="s">
        <v>4584</v>
      </c>
      <c r="C1118" s="9">
        <v>1116.0</v>
      </c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</row>
    <row r="1119">
      <c r="A1119" s="9">
        <v>1118.0</v>
      </c>
      <c r="B1119" s="9" t="s">
        <v>4585</v>
      </c>
      <c r="C1119" s="9">
        <v>1116.0</v>
      </c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</row>
    <row r="1120">
      <c r="A1120" s="9">
        <v>1119.0</v>
      </c>
      <c r="B1120" s="9" t="s">
        <v>4586</v>
      </c>
      <c r="C1120" s="9">
        <v>1116.0</v>
      </c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</row>
    <row r="1121">
      <c r="A1121" s="9">
        <v>1120.0</v>
      </c>
      <c r="B1121" s="9" t="s">
        <v>4587</v>
      </c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</row>
    <row r="1122">
      <c r="A1122" s="9">
        <v>1121.0</v>
      </c>
      <c r="B1122" s="9" t="s">
        <v>4588</v>
      </c>
      <c r="C1122" s="9">
        <v>1120.0</v>
      </c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</row>
    <row r="1123">
      <c r="A1123" s="9">
        <v>1122.0</v>
      </c>
      <c r="B1123" s="9" t="s">
        <v>4589</v>
      </c>
      <c r="C1123" s="9">
        <v>1120.0</v>
      </c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</row>
    <row r="1124">
      <c r="A1124" s="9">
        <v>1123.0</v>
      </c>
      <c r="B1124" s="9" t="s">
        <v>4590</v>
      </c>
      <c r="C1124" s="9">
        <v>1120.0</v>
      </c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</row>
    <row r="1125">
      <c r="A1125" s="9">
        <v>1124.0</v>
      </c>
      <c r="B1125" s="9" t="s">
        <v>4591</v>
      </c>
      <c r="C1125" s="9">
        <v>1120.0</v>
      </c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</row>
    <row r="1126">
      <c r="A1126" s="9">
        <v>1125.0</v>
      </c>
      <c r="B1126" s="9" t="s">
        <v>4592</v>
      </c>
      <c r="C1126" s="9">
        <v>1120.0</v>
      </c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</row>
    <row r="1127">
      <c r="A1127" s="9">
        <v>1126.0</v>
      </c>
      <c r="B1127" s="9" t="s">
        <v>4593</v>
      </c>
      <c r="C1127" s="9">
        <v>1120.0</v>
      </c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</row>
    <row r="1128">
      <c r="A1128" s="9">
        <v>1127.0</v>
      </c>
      <c r="B1128" s="9" t="s">
        <v>4594</v>
      </c>
      <c r="C1128" s="9">
        <v>1120.0</v>
      </c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</row>
    <row r="1129">
      <c r="A1129" s="9">
        <v>1128.0</v>
      </c>
      <c r="B1129" s="9" t="s">
        <v>4595</v>
      </c>
      <c r="C1129" s="9">
        <v>1120.0</v>
      </c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</row>
    <row r="1130">
      <c r="A1130" s="9">
        <v>1129.0</v>
      </c>
      <c r="B1130" s="9" t="s">
        <v>4596</v>
      </c>
      <c r="C1130" s="9">
        <v>1120.0</v>
      </c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</row>
    <row r="1131">
      <c r="A1131" s="9">
        <v>1130.0</v>
      </c>
      <c r="B1131" s="9" t="s">
        <v>4597</v>
      </c>
      <c r="C1131" s="9">
        <v>1120.0</v>
      </c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</row>
    <row r="1132">
      <c r="A1132" s="9">
        <v>1131.0</v>
      </c>
      <c r="B1132" s="9" t="s">
        <v>4598</v>
      </c>
      <c r="C1132" s="9">
        <v>1120.0</v>
      </c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</row>
    <row r="1133">
      <c r="A1133" s="9">
        <v>1132.0</v>
      </c>
      <c r="B1133" s="9" t="s">
        <v>4599</v>
      </c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</row>
    <row r="1134">
      <c r="A1134" s="9">
        <v>1133.0</v>
      </c>
      <c r="B1134" s="9" t="s">
        <v>4600</v>
      </c>
      <c r="C1134" s="9">
        <v>1132.0</v>
      </c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</row>
    <row r="1135">
      <c r="A1135" s="9">
        <v>1134.0</v>
      </c>
      <c r="B1135" s="9" t="s">
        <v>4601</v>
      </c>
      <c r="C1135" s="9">
        <v>1132.0</v>
      </c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</row>
    <row r="1136">
      <c r="A1136" s="9">
        <v>1135.0</v>
      </c>
      <c r="B1136" s="9" t="s">
        <v>4602</v>
      </c>
      <c r="C1136" s="9">
        <v>1132.0</v>
      </c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</row>
    <row r="1137">
      <c r="A1137" s="9">
        <v>1136.0</v>
      </c>
      <c r="B1137" s="9" t="s">
        <v>4603</v>
      </c>
      <c r="C1137" s="9">
        <v>1132.0</v>
      </c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</row>
    <row r="1138">
      <c r="A1138" s="9">
        <v>1137.0</v>
      </c>
      <c r="B1138" s="9" t="s">
        <v>4604</v>
      </c>
      <c r="C1138" s="9">
        <v>1132.0</v>
      </c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</row>
    <row r="1139">
      <c r="A1139" s="9">
        <v>1138.0</v>
      </c>
      <c r="B1139" s="9" t="s">
        <v>4605</v>
      </c>
      <c r="C1139" s="9">
        <v>1132.0</v>
      </c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</row>
    <row r="1140">
      <c r="A1140" s="9">
        <v>1139.0</v>
      </c>
      <c r="B1140" s="9" t="s">
        <v>4606</v>
      </c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</row>
    <row r="1141">
      <c r="A1141" s="9">
        <v>1140.0</v>
      </c>
      <c r="B1141" s="9" t="s">
        <v>4607</v>
      </c>
      <c r="C1141" s="9">
        <v>1139.0</v>
      </c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</row>
    <row r="1142">
      <c r="A1142" s="9">
        <v>1141.0</v>
      </c>
      <c r="B1142" s="9" t="s">
        <v>4608</v>
      </c>
      <c r="C1142" s="9">
        <v>1139.0</v>
      </c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</row>
    <row r="1143">
      <c r="A1143" s="9">
        <v>1142.0</v>
      </c>
      <c r="B1143" s="9" t="s">
        <v>4609</v>
      </c>
      <c r="C1143" s="9">
        <v>1139.0</v>
      </c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</row>
    <row r="1144">
      <c r="A1144" s="9">
        <v>1143.0</v>
      </c>
      <c r="B1144" s="9" t="s">
        <v>4610</v>
      </c>
      <c r="C1144" s="9">
        <v>1139.0</v>
      </c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</row>
    <row r="1145">
      <c r="A1145" s="9">
        <v>1144.0</v>
      </c>
      <c r="B1145" s="9" t="s">
        <v>4611</v>
      </c>
      <c r="C1145" s="9">
        <v>1139.0</v>
      </c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</row>
    <row r="1146">
      <c r="A1146" s="9">
        <v>1145.0</v>
      </c>
      <c r="B1146" s="9" t="s">
        <v>4612</v>
      </c>
      <c r="C1146" s="9">
        <v>1139.0</v>
      </c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</row>
    <row r="1147">
      <c r="A1147" s="9">
        <v>1146.0</v>
      </c>
      <c r="B1147" s="9" t="s">
        <v>4613</v>
      </c>
      <c r="C1147" s="9">
        <v>1139.0</v>
      </c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</row>
    <row r="1148">
      <c r="A1148" s="9">
        <v>1147.0</v>
      </c>
      <c r="B1148" s="9" t="s">
        <v>4614</v>
      </c>
      <c r="C1148" s="9">
        <v>1139.0</v>
      </c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</row>
    <row r="1149">
      <c r="A1149" s="9">
        <v>1148.0</v>
      </c>
      <c r="B1149" s="9" t="s">
        <v>4615</v>
      </c>
      <c r="C1149" s="9">
        <v>1139.0</v>
      </c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</row>
    <row r="1150">
      <c r="A1150" s="9">
        <v>1149.0</v>
      </c>
      <c r="B1150" s="9" t="s">
        <v>4616</v>
      </c>
      <c r="C1150" s="9">
        <v>1139.0</v>
      </c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</row>
    <row r="1151">
      <c r="A1151" s="9">
        <v>1150.0</v>
      </c>
      <c r="B1151" s="9" t="s">
        <v>4617</v>
      </c>
      <c r="C1151" s="9">
        <v>1139.0</v>
      </c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</row>
    <row r="1152">
      <c r="A1152" s="9">
        <v>1151.0</v>
      </c>
      <c r="B1152" s="9" t="s">
        <v>4618</v>
      </c>
      <c r="C1152" s="9">
        <v>1139.0</v>
      </c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</row>
    <row r="1153">
      <c r="A1153" s="9">
        <v>1152.0</v>
      </c>
      <c r="B1153" s="9" t="s">
        <v>4619</v>
      </c>
      <c r="C1153" s="9">
        <v>1139.0</v>
      </c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</row>
    <row r="1154">
      <c r="A1154" s="9">
        <v>1153.0</v>
      </c>
      <c r="B1154" s="9" t="s">
        <v>4620</v>
      </c>
      <c r="C1154" s="9">
        <v>1139.0</v>
      </c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</row>
    <row r="1155">
      <c r="A1155" s="9">
        <v>1154.0</v>
      </c>
      <c r="B1155" s="9" t="s">
        <v>4621</v>
      </c>
      <c r="C1155" s="9">
        <v>1139.0</v>
      </c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</row>
    <row r="1156">
      <c r="A1156" s="9">
        <v>1155.0</v>
      </c>
      <c r="B1156" s="9" t="s">
        <v>4622</v>
      </c>
      <c r="C1156" s="9">
        <v>1139.0</v>
      </c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</row>
    <row r="1157">
      <c r="A1157" s="9">
        <v>1156.0</v>
      </c>
      <c r="B1157" s="9" t="s">
        <v>4623</v>
      </c>
      <c r="C1157" s="9">
        <v>1139.0</v>
      </c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</row>
    <row r="1158">
      <c r="A1158" s="9">
        <v>1157.0</v>
      </c>
      <c r="B1158" s="9" t="s">
        <v>4624</v>
      </c>
      <c r="C1158" s="9">
        <v>1139.0</v>
      </c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</row>
    <row r="1159">
      <c r="A1159" s="9">
        <v>1158.0</v>
      </c>
      <c r="B1159" s="9" t="s">
        <v>4625</v>
      </c>
      <c r="C1159" s="9">
        <v>1139.0</v>
      </c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</row>
    <row r="1160">
      <c r="A1160" s="9">
        <v>1159.0</v>
      </c>
      <c r="B1160" s="9" t="s">
        <v>4626</v>
      </c>
      <c r="C1160" s="9">
        <v>1139.0</v>
      </c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</row>
    <row r="1161">
      <c r="A1161" s="9">
        <v>1160.0</v>
      </c>
      <c r="B1161" s="9" t="s">
        <v>4627</v>
      </c>
      <c r="C1161" s="9">
        <v>1139.0</v>
      </c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</row>
    <row r="1162">
      <c r="A1162" s="9">
        <v>1161.0</v>
      </c>
      <c r="B1162" s="9" t="s">
        <v>4628</v>
      </c>
      <c r="C1162" s="9">
        <v>1139.0</v>
      </c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</row>
    <row r="1163">
      <c r="A1163" s="9">
        <v>1162.0</v>
      </c>
      <c r="B1163" s="9" t="s">
        <v>4629</v>
      </c>
      <c r="C1163" s="9">
        <v>1139.0</v>
      </c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</row>
    <row r="1164">
      <c r="A1164" s="9">
        <v>1163.0</v>
      </c>
      <c r="B1164" s="9" t="s">
        <v>4630</v>
      </c>
      <c r="C1164" s="9">
        <v>1139.0</v>
      </c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</row>
    <row r="1165">
      <c r="A1165" s="9">
        <v>1164.0</v>
      </c>
      <c r="B1165" s="9" t="s">
        <v>4631</v>
      </c>
      <c r="C1165" s="9">
        <v>1139.0</v>
      </c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</row>
    <row r="1166">
      <c r="A1166" s="9">
        <v>1165.0</v>
      </c>
      <c r="B1166" s="9" t="s">
        <v>4632</v>
      </c>
      <c r="C1166" s="9">
        <v>1139.0</v>
      </c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</row>
    <row r="1167">
      <c r="A1167" s="9">
        <v>1166.0</v>
      </c>
      <c r="B1167" s="9" t="s">
        <v>4633</v>
      </c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</row>
    <row r="1168">
      <c r="A1168" s="9">
        <v>1167.0</v>
      </c>
      <c r="B1168" s="9" t="s">
        <v>4634</v>
      </c>
      <c r="C1168" s="9">
        <v>1166.0</v>
      </c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</row>
    <row r="1169">
      <c r="A1169" s="9">
        <v>1168.0</v>
      </c>
      <c r="B1169" s="9" t="s">
        <v>4635</v>
      </c>
      <c r="C1169" s="9">
        <v>1166.0</v>
      </c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</row>
    <row r="1170">
      <c r="A1170" s="9">
        <v>1169.0</v>
      </c>
      <c r="B1170" s="9" t="s">
        <v>4636</v>
      </c>
      <c r="C1170" s="9">
        <v>1166.0</v>
      </c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</row>
    <row r="1171">
      <c r="A1171" s="9">
        <v>1170.0</v>
      </c>
      <c r="B1171" s="9" t="s">
        <v>4637</v>
      </c>
      <c r="C1171" s="9">
        <v>1166.0</v>
      </c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</row>
    <row r="1172">
      <c r="A1172" s="9">
        <v>1171.0</v>
      </c>
      <c r="B1172" s="9" t="s">
        <v>4638</v>
      </c>
      <c r="C1172" s="9">
        <v>1166.0</v>
      </c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</row>
    <row r="1173">
      <c r="A1173" s="9">
        <v>1172.0</v>
      </c>
      <c r="B1173" s="9" t="s">
        <v>4639</v>
      </c>
      <c r="C1173" s="9">
        <v>1166.0</v>
      </c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</row>
    <row r="1174">
      <c r="A1174" s="9">
        <v>1173.0</v>
      </c>
      <c r="B1174" s="9" t="s">
        <v>4640</v>
      </c>
      <c r="C1174" s="9">
        <v>1166.0</v>
      </c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</row>
    <row r="1175">
      <c r="A1175" s="9">
        <v>1174.0</v>
      </c>
      <c r="B1175" s="9" t="s">
        <v>4641</v>
      </c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</row>
    <row r="1176">
      <c r="A1176" s="9">
        <v>1175.0</v>
      </c>
      <c r="B1176" s="9" t="s">
        <v>4642</v>
      </c>
      <c r="C1176" s="9">
        <v>1174.0</v>
      </c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</row>
    <row r="1177">
      <c r="A1177" s="9">
        <v>1176.0</v>
      </c>
      <c r="B1177" s="9" t="s">
        <v>4643</v>
      </c>
      <c r="C1177" s="9">
        <v>1174.0</v>
      </c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</row>
    <row r="1178">
      <c r="A1178" s="9">
        <v>1177.0</v>
      </c>
      <c r="B1178" s="9" t="s">
        <v>4644</v>
      </c>
      <c r="C1178" s="9">
        <v>1174.0</v>
      </c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</row>
    <row r="1179">
      <c r="A1179" s="9">
        <v>1178.0</v>
      </c>
      <c r="B1179" s="9" t="s">
        <v>4645</v>
      </c>
      <c r="C1179" s="9">
        <v>1174.0</v>
      </c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</row>
    <row r="1180">
      <c r="A1180" s="9">
        <v>1179.0</v>
      </c>
      <c r="B1180" s="9" t="s">
        <v>4646</v>
      </c>
      <c r="C1180" s="9">
        <v>1174.0</v>
      </c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</row>
    <row r="1181">
      <c r="A1181" s="9">
        <v>1180.0</v>
      </c>
      <c r="B1181" s="9" t="s">
        <v>4647</v>
      </c>
      <c r="C1181" s="9">
        <v>1174.0</v>
      </c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</row>
    <row r="1182">
      <c r="A1182" s="9">
        <v>1181.0</v>
      </c>
      <c r="B1182" s="9" t="s">
        <v>4648</v>
      </c>
      <c r="C1182" s="9">
        <v>1174.0</v>
      </c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</row>
    <row r="1183">
      <c r="A1183" s="9">
        <v>1182.0</v>
      </c>
      <c r="B1183" s="9" t="s">
        <v>4649</v>
      </c>
      <c r="C1183" s="9">
        <v>1174.0</v>
      </c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</row>
    <row r="1184">
      <c r="A1184" s="9">
        <v>1183.0</v>
      </c>
      <c r="B1184" s="9" t="s">
        <v>4650</v>
      </c>
      <c r="C1184" s="9">
        <v>1174.0</v>
      </c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</row>
    <row r="1185">
      <c r="A1185" s="9">
        <v>1184.0</v>
      </c>
      <c r="B1185" s="9" t="s">
        <v>4651</v>
      </c>
      <c r="C1185" s="9">
        <v>1174.0</v>
      </c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</row>
    <row r="1186">
      <c r="A1186" s="9">
        <v>1185.0</v>
      </c>
      <c r="B1186" s="9" t="s">
        <v>4652</v>
      </c>
      <c r="C1186" s="9">
        <v>1174.0</v>
      </c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</row>
    <row r="1187">
      <c r="A1187" s="9">
        <v>1186.0</v>
      </c>
      <c r="B1187" s="9" t="s">
        <v>4653</v>
      </c>
      <c r="C1187" s="9">
        <v>1174.0</v>
      </c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</row>
    <row r="1188">
      <c r="A1188" s="9">
        <v>1187.0</v>
      </c>
      <c r="B1188" s="9" t="s">
        <v>4654</v>
      </c>
      <c r="C1188" s="9">
        <v>1174.0</v>
      </c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</row>
    <row r="1189">
      <c r="A1189" s="9">
        <v>1188.0</v>
      </c>
      <c r="B1189" s="9" t="s">
        <v>4655</v>
      </c>
      <c r="C1189" s="9">
        <v>1174.0</v>
      </c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</row>
    <row r="1190">
      <c r="A1190" s="9">
        <v>1189.0</v>
      </c>
      <c r="B1190" s="9" t="s">
        <v>4656</v>
      </c>
      <c r="C1190" s="9">
        <v>1174.0</v>
      </c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</row>
    <row r="1191">
      <c r="A1191" s="9">
        <v>1190.0</v>
      </c>
      <c r="B1191" s="9" t="s">
        <v>4657</v>
      </c>
      <c r="C1191" s="9">
        <v>1174.0</v>
      </c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</row>
    <row r="1192">
      <c r="A1192" s="9">
        <v>1191.0</v>
      </c>
      <c r="B1192" s="9" t="s">
        <v>4658</v>
      </c>
      <c r="C1192" s="9">
        <v>1174.0</v>
      </c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</row>
    <row r="1193">
      <c r="A1193" s="9">
        <v>1192.0</v>
      </c>
      <c r="B1193" s="9" t="s">
        <v>4659</v>
      </c>
      <c r="C1193" s="9">
        <v>1174.0</v>
      </c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</row>
    <row r="1194">
      <c r="A1194" s="9">
        <v>1193.0</v>
      </c>
      <c r="B1194" s="9" t="s">
        <v>4660</v>
      </c>
      <c r="C1194" s="9">
        <v>1174.0</v>
      </c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</row>
    <row r="1195">
      <c r="A1195" s="9">
        <v>1194.0</v>
      </c>
      <c r="B1195" s="9" t="s">
        <v>4661</v>
      </c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</row>
    <row r="1196">
      <c r="A1196" s="9">
        <v>1195.0</v>
      </c>
      <c r="B1196" s="9" t="s">
        <v>4662</v>
      </c>
      <c r="C1196" s="9">
        <v>1194.0</v>
      </c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</row>
    <row r="1197">
      <c r="A1197" s="9">
        <v>1196.0</v>
      </c>
      <c r="B1197" s="9" t="s">
        <v>4663</v>
      </c>
      <c r="C1197" s="9">
        <v>1194.0</v>
      </c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</row>
    <row r="1198">
      <c r="A1198" s="9">
        <v>1197.0</v>
      </c>
      <c r="B1198" s="9" t="s">
        <v>4664</v>
      </c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</row>
    <row r="1199">
      <c r="A1199" s="9">
        <v>1198.0</v>
      </c>
      <c r="B1199" s="9" t="s">
        <v>4665</v>
      </c>
      <c r="C1199" s="9">
        <v>1197.0</v>
      </c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</row>
    <row r="1200">
      <c r="A1200" s="9">
        <v>1199.0</v>
      </c>
      <c r="B1200" s="9" t="s">
        <v>4666</v>
      </c>
      <c r="C1200" s="9">
        <v>1197.0</v>
      </c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</row>
    <row r="1201">
      <c r="A1201" s="9">
        <v>1200.0</v>
      </c>
      <c r="B1201" s="9" t="s">
        <v>4667</v>
      </c>
      <c r="C1201" s="9">
        <v>1197.0</v>
      </c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</row>
    <row r="1202">
      <c r="A1202" s="9">
        <v>1201.0</v>
      </c>
      <c r="B1202" s="9" t="s">
        <v>4668</v>
      </c>
      <c r="C1202" s="9">
        <v>1197.0</v>
      </c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>
      <c r="A1203" s="9">
        <v>1202.0</v>
      </c>
      <c r="B1203" s="9" t="s">
        <v>4669</v>
      </c>
      <c r="C1203" s="9">
        <v>1197.0</v>
      </c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04">
      <c r="A1204" s="9">
        <v>1203.0</v>
      </c>
      <c r="B1204" s="9" t="s">
        <v>4670</v>
      </c>
      <c r="C1204" s="9">
        <v>1197.0</v>
      </c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</row>
    <row r="1205">
      <c r="A1205" s="9">
        <v>1204.0</v>
      </c>
      <c r="B1205" s="9" t="s">
        <v>4671</v>
      </c>
      <c r="C1205" s="9">
        <v>1197.0</v>
      </c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</row>
    <row r="1206">
      <c r="A1206" s="9">
        <v>1205.0</v>
      </c>
      <c r="B1206" s="9" t="s">
        <v>4672</v>
      </c>
      <c r="C1206" s="9">
        <v>1197.0</v>
      </c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</row>
    <row r="1207">
      <c r="A1207" s="9">
        <v>1206.0</v>
      </c>
      <c r="B1207" s="9" t="s">
        <v>4673</v>
      </c>
      <c r="C1207" s="9">
        <v>1197.0</v>
      </c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</row>
    <row r="1208">
      <c r="A1208" s="9">
        <v>1207.0</v>
      </c>
      <c r="B1208" s="9" t="s">
        <v>4674</v>
      </c>
      <c r="C1208" s="9">
        <v>1197.0</v>
      </c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</row>
    <row r="1209">
      <c r="A1209" s="9">
        <v>1208.0</v>
      </c>
      <c r="B1209" s="9" t="s">
        <v>4675</v>
      </c>
      <c r="C1209" s="9">
        <v>1197.0</v>
      </c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</row>
    <row r="1210">
      <c r="A1210" s="9">
        <v>1209.0</v>
      </c>
      <c r="B1210" s="9" t="s">
        <v>4676</v>
      </c>
      <c r="C1210" s="9">
        <v>1197.0</v>
      </c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</row>
    <row r="1211">
      <c r="A1211" s="9">
        <v>1210.0</v>
      </c>
      <c r="B1211" s="9" t="s">
        <v>4677</v>
      </c>
      <c r="C1211" s="9">
        <v>1197.0</v>
      </c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</row>
    <row r="1212">
      <c r="A1212" s="9">
        <v>1211.0</v>
      </c>
      <c r="B1212" s="9" t="s">
        <v>4678</v>
      </c>
      <c r="C1212" s="9">
        <v>1197.0</v>
      </c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</row>
    <row r="1213">
      <c r="A1213" s="9">
        <v>1212.0</v>
      </c>
      <c r="B1213" s="9" t="s">
        <v>4679</v>
      </c>
      <c r="C1213" s="9">
        <v>1197.0</v>
      </c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</row>
    <row r="1214">
      <c r="A1214" s="9">
        <v>1213.0</v>
      </c>
      <c r="B1214" s="9" t="s">
        <v>4680</v>
      </c>
      <c r="C1214" s="9">
        <v>1197.0</v>
      </c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</row>
    <row r="1215">
      <c r="A1215" s="9">
        <v>1214.0</v>
      </c>
      <c r="B1215" s="9" t="s">
        <v>4681</v>
      </c>
      <c r="C1215" s="9">
        <v>1197.0</v>
      </c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</row>
    <row r="1216">
      <c r="A1216" s="9">
        <v>1215.0</v>
      </c>
      <c r="B1216" s="9" t="s">
        <v>4682</v>
      </c>
      <c r="C1216" s="9">
        <v>1197.0</v>
      </c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</row>
    <row r="1217">
      <c r="A1217" s="9">
        <v>1216.0</v>
      </c>
      <c r="B1217" s="9" t="s">
        <v>4683</v>
      </c>
      <c r="C1217" s="9">
        <v>1197.0</v>
      </c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</row>
    <row r="1218">
      <c r="A1218" s="9">
        <v>1217.0</v>
      </c>
      <c r="B1218" s="9" t="s">
        <v>4684</v>
      </c>
      <c r="C1218" s="9">
        <v>1197.0</v>
      </c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</row>
    <row r="1219">
      <c r="A1219" s="9">
        <v>1218.0</v>
      </c>
      <c r="B1219" s="9" t="s">
        <v>4685</v>
      </c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</row>
    <row r="1220">
      <c r="A1220" s="9">
        <v>1219.0</v>
      </c>
      <c r="B1220" s="9" t="s">
        <v>4686</v>
      </c>
      <c r="C1220" s="9">
        <v>1218.0</v>
      </c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</row>
    <row r="1221">
      <c r="A1221" s="9">
        <v>1220.0</v>
      </c>
      <c r="B1221" s="9" t="s">
        <v>4687</v>
      </c>
      <c r="C1221" s="9">
        <v>1218.0</v>
      </c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</row>
    <row r="1222">
      <c r="A1222" s="9">
        <v>1221.0</v>
      </c>
      <c r="B1222" s="9" t="s">
        <v>4688</v>
      </c>
      <c r="C1222" s="9">
        <v>1218.0</v>
      </c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</row>
    <row r="1223">
      <c r="A1223" s="9">
        <v>1222.0</v>
      </c>
      <c r="B1223" s="9" t="s">
        <v>4689</v>
      </c>
      <c r="C1223" s="9">
        <v>1218.0</v>
      </c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</row>
    <row r="1224">
      <c r="A1224" s="9">
        <v>1223.0</v>
      </c>
      <c r="B1224" s="9" t="s">
        <v>4690</v>
      </c>
      <c r="C1224" s="9">
        <v>1218.0</v>
      </c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</row>
    <row r="1225">
      <c r="A1225" s="9">
        <v>1224.0</v>
      </c>
      <c r="B1225" s="9" t="s">
        <v>4691</v>
      </c>
      <c r="C1225" s="9">
        <v>1218.0</v>
      </c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</row>
    <row r="1226">
      <c r="A1226" s="9">
        <v>1225.0</v>
      </c>
      <c r="B1226" s="9" t="s">
        <v>4692</v>
      </c>
      <c r="C1226" s="9">
        <v>1218.0</v>
      </c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</row>
    <row r="1227">
      <c r="A1227" s="9">
        <v>1226.0</v>
      </c>
      <c r="B1227" s="9" t="s">
        <v>4693</v>
      </c>
      <c r="C1227" s="9">
        <v>1218.0</v>
      </c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</row>
    <row r="1228">
      <c r="A1228" s="9">
        <v>1227.0</v>
      </c>
      <c r="B1228" s="9" t="s">
        <v>4694</v>
      </c>
      <c r="C1228" s="9">
        <v>1218.0</v>
      </c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</row>
    <row r="1229">
      <c r="A1229" s="9">
        <v>1228.0</v>
      </c>
      <c r="B1229" s="9" t="s">
        <v>4695</v>
      </c>
      <c r="C1229" s="9">
        <v>1218.0</v>
      </c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</row>
    <row r="1230">
      <c r="A1230" s="9">
        <v>1229.0</v>
      </c>
      <c r="B1230" s="9" t="s">
        <v>4696</v>
      </c>
      <c r="C1230" s="9">
        <v>1218.0</v>
      </c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</row>
    <row r="1231">
      <c r="A1231" s="9">
        <v>1230.0</v>
      </c>
      <c r="B1231" s="9" t="s">
        <v>4697</v>
      </c>
      <c r="C1231" s="9">
        <v>1218.0</v>
      </c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</row>
    <row r="1232">
      <c r="A1232" s="9">
        <v>1231.0</v>
      </c>
      <c r="B1232" s="9" t="s">
        <v>4698</v>
      </c>
      <c r="C1232" s="9">
        <v>1218.0</v>
      </c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</row>
    <row r="1233">
      <c r="A1233" s="9">
        <v>1232.0</v>
      </c>
      <c r="B1233" s="9" t="s">
        <v>4699</v>
      </c>
      <c r="C1233" s="9">
        <v>1218.0</v>
      </c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>
      <c r="A1234" s="9">
        <v>1233.0</v>
      </c>
      <c r="B1234" s="9" t="s">
        <v>4700</v>
      </c>
      <c r="C1234" s="9">
        <v>1218.0</v>
      </c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35">
      <c r="A1235" s="9">
        <v>1234.0</v>
      </c>
      <c r="B1235" s="9" t="s">
        <v>4701</v>
      </c>
      <c r="C1235" s="9">
        <v>1218.0</v>
      </c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</row>
    <row r="1236">
      <c r="A1236" s="9">
        <v>1235.0</v>
      </c>
      <c r="B1236" s="9" t="s">
        <v>4702</v>
      </c>
      <c r="C1236" s="9">
        <v>1218.0</v>
      </c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</row>
    <row r="1237">
      <c r="A1237" s="9">
        <v>1236.0</v>
      </c>
      <c r="B1237" s="9" t="s">
        <v>4703</v>
      </c>
      <c r="C1237" s="9">
        <v>1218.0</v>
      </c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</row>
    <row r="1238">
      <c r="A1238" s="9">
        <v>1237.0</v>
      </c>
      <c r="B1238" s="9" t="s">
        <v>4704</v>
      </c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</row>
    <row r="1239">
      <c r="A1239" s="9">
        <v>1238.0</v>
      </c>
      <c r="B1239" s="9" t="s">
        <v>4705</v>
      </c>
      <c r="C1239" s="9">
        <v>1237.0</v>
      </c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</row>
    <row r="1240">
      <c r="A1240" s="9">
        <v>1239.0</v>
      </c>
      <c r="B1240" s="9" t="s">
        <v>4706</v>
      </c>
      <c r="C1240" s="9">
        <v>1237.0</v>
      </c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</row>
    <row r="1241">
      <c r="A1241" s="9">
        <v>1240.0</v>
      </c>
      <c r="B1241" s="9" t="s">
        <v>4707</v>
      </c>
      <c r="C1241" s="9">
        <v>1237.0</v>
      </c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42">
      <c r="A1242" s="9">
        <v>1241.0</v>
      </c>
      <c r="B1242" s="9" t="s">
        <v>4708</v>
      </c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</row>
    <row r="1243">
      <c r="A1243" s="9">
        <v>1242.0</v>
      </c>
      <c r="B1243" s="9" t="s">
        <v>4709</v>
      </c>
      <c r="C1243" s="9">
        <v>1241.0</v>
      </c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</row>
    <row r="1244">
      <c r="A1244" s="9">
        <v>1243.0</v>
      </c>
      <c r="B1244" s="9" t="s">
        <v>4710</v>
      </c>
      <c r="C1244" s="9">
        <v>1241.0</v>
      </c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</row>
    <row r="1245">
      <c r="A1245" s="9">
        <v>1244.0</v>
      </c>
      <c r="B1245" s="9" t="s">
        <v>4711</v>
      </c>
      <c r="C1245" s="9">
        <v>1241.0</v>
      </c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</row>
    <row r="1246">
      <c r="A1246" s="9">
        <v>1245.0</v>
      </c>
      <c r="B1246" s="9" t="s">
        <v>4712</v>
      </c>
      <c r="C1246" s="9">
        <v>1241.0</v>
      </c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</row>
    <row r="1247">
      <c r="A1247" s="9">
        <v>1246.0</v>
      </c>
      <c r="B1247" s="9" t="s">
        <v>4713</v>
      </c>
      <c r="C1247" s="9">
        <v>1241.0</v>
      </c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</row>
    <row r="1248">
      <c r="A1248" s="9">
        <v>1247.0</v>
      </c>
      <c r="B1248" s="9" t="s">
        <v>4714</v>
      </c>
      <c r="C1248" s="9">
        <v>1241.0</v>
      </c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</row>
    <row r="1249">
      <c r="A1249" s="9">
        <v>1248.0</v>
      </c>
      <c r="B1249" s="9" t="s">
        <v>4715</v>
      </c>
      <c r="C1249" s="9">
        <v>1241.0</v>
      </c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</row>
    <row r="1250">
      <c r="A1250" s="9">
        <v>1249.0</v>
      </c>
      <c r="B1250" s="9" t="s">
        <v>4716</v>
      </c>
      <c r="C1250" s="9">
        <v>1241.0</v>
      </c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</row>
    <row r="1251">
      <c r="A1251" s="9">
        <v>1250.0</v>
      </c>
      <c r="B1251" s="9" t="s">
        <v>4717</v>
      </c>
      <c r="C1251" s="9">
        <v>1241.0</v>
      </c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</row>
    <row r="1252">
      <c r="A1252" s="9">
        <v>1251.0</v>
      </c>
      <c r="B1252" s="9" t="s">
        <v>4718</v>
      </c>
      <c r="C1252" s="9">
        <v>1241.0</v>
      </c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</row>
    <row r="1253">
      <c r="A1253" s="9">
        <v>1252.0</v>
      </c>
      <c r="B1253" s="9" t="s">
        <v>4719</v>
      </c>
      <c r="C1253" s="9">
        <v>1241.0</v>
      </c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>
      <c r="A1254" s="9">
        <v>1253.0</v>
      </c>
      <c r="B1254" s="9" t="s">
        <v>4720</v>
      </c>
      <c r="C1254" s="9">
        <v>1241.0</v>
      </c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5">
      <c r="A1255" s="9">
        <v>1254.0</v>
      </c>
      <c r="B1255" s="9" t="s">
        <v>4721</v>
      </c>
      <c r="C1255" s="9">
        <v>1241.0</v>
      </c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</row>
    <row r="1256">
      <c r="A1256" s="9">
        <v>1255.0</v>
      </c>
      <c r="B1256" s="9" t="s">
        <v>4722</v>
      </c>
      <c r="C1256" s="9">
        <v>1241.0</v>
      </c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1257">
      <c r="A1257" s="9">
        <v>1256.0</v>
      </c>
      <c r="B1257" s="9" t="s">
        <v>4723</v>
      </c>
      <c r="C1257" s="9">
        <v>1241.0</v>
      </c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</row>
    <row r="1258">
      <c r="A1258" s="9">
        <v>1257.0</v>
      </c>
      <c r="B1258" s="9" t="s">
        <v>4724</v>
      </c>
      <c r="C1258" s="9">
        <v>1241.0</v>
      </c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</row>
    <row r="1259">
      <c r="A1259" s="9">
        <v>1258.0</v>
      </c>
      <c r="B1259" s="9" t="s">
        <v>4725</v>
      </c>
      <c r="C1259" s="9">
        <v>1241.0</v>
      </c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</row>
    <row r="1260">
      <c r="A1260" s="9">
        <v>1259.0</v>
      </c>
      <c r="B1260" s="9" t="s">
        <v>4726</v>
      </c>
      <c r="C1260" s="9">
        <v>1241.0</v>
      </c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</row>
    <row r="1261">
      <c r="A1261" s="9">
        <v>1260.0</v>
      </c>
      <c r="B1261" s="9" t="s">
        <v>4727</v>
      </c>
      <c r="C1261" s="9">
        <v>1241.0</v>
      </c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</row>
    <row r="1262">
      <c r="A1262" s="9">
        <v>1261.0</v>
      </c>
      <c r="B1262" s="9" t="s">
        <v>4728</v>
      </c>
      <c r="C1262" s="9">
        <v>1241.0</v>
      </c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</row>
    <row r="1263">
      <c r="A1263" s="9">
        <v>1262.0</v>
      </c>
      <c r="B1263" s="9" t="s">
        <v>4729</v>
      </c>
      <c r="C1263" s="9">
        <v>1241.0</v>
      </c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</row>
    <row r="1264">
      <c r="A1264" s="9">
        <v>1263.0</v>
      </c>
      <c r="B1264" s="9" t="s">
        <v>4730</v>
      </c>
      <c r="C1264" s="9">
        <v>1241.0</v>
      </c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</row>
    <row r="1265">
      <c r="A1265" s="9">
        <v>1264.0</v>
      </c>
      <c r="B1265" s="9" t="s">
        <v>4731</v>
      </c>
      <c r="C1265" s="9">
        <v>1241.0</v>
      </c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</row>
    <row r="1266">
      <c r="A1266" s="9">
        <v>1265.0</v>
      </c>
      <c r="B1266" s="9" t="s">
        <v>4732</v>
      </c>
      <c r="C1266" s="9">
        <v>1241.0</v>
      </c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</row>
    <row r="1267">
      <c r="A1267" s="9">
        <v>1266.0</v>
      </c>
      <c r="B1267" s="9" t="s">
        <v>4733</v>
      </c>
      <c r="C1267" s="9">
        <v>1241.0</v>
      </c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</row>
    <row r="1268">
      <c r="A1268" s="9">
        <v>1267.0</v>
      </c>
      <c r="B1268" s="9" t="s">
        <v>4734</v>
      </c>
      <c r="C1268" s="9">
        <v>1241.0</v>
      </c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</row>
    <row r="1269">
      <c r="A1269" s="9">
        <v>1268.0</v>
      </c>
      <c r="B1269" s="9" t="s">
        <v>4735</v>
      </c>
      <c r="C1269" s="9">
        <v>1241.0</v>
      </c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</row>
    <row r="1270">
      <c r="A1270" s="9">
        <v>1269.0</v>
      </c>
      <c r="B1270" s="9" t="s">
        <v>4736</v>
      </c>
      <c r="C1270" s="9">
        <v>1241.0</v>
      </c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</row>
    <row r="1271">
      <c r="A1271" s="9">
        <v>1270.0</v>
      </c>
      <c r="B1271" s="9" t="s">
        <v>4737</v>
      </c>
      <c r="C1271" s="9">
        <v>1241.0</v>
      </c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</row>
    <row r="1272">
      <c r="A1272" s="9">
        <v>1271.0</v>
      </c>
      <c r="B1272" s="9" t="s">
        <v>4738</v>
      </c>
      <c r="C1272" s="9">
        <v>1241.0</v>
      </c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</row>
    <row r="1273">
      <c r="A1273" s="9">
        <v>1272.0</v>
      </c>
      <c r="B1273" s="9" t="s">
        <v>4739</v>
      </c>
      <c r="C1273" s="9">
        <v>1241.0</v>
      </c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</row>
    <row r="1274">
      <c r="A1274" s="9">
        <v>1273.0</v>
      </c>
      <c r="B1274" s="9" t="s">
        <v>4740</v>
      </c>
      <c r="C1274" s="9">
        <v>1241.0</v>
      </c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</row>
    <row r="1275">
      <c r="A1275" s="9">
        <v>1274.0</v>
      </c>
      <c r="B1275" s="9" t="s">
        <v>4741</v>
      </c>
      <c r="C1275" s="9">
        <v>1241.0</v>
      </c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</row>
    <row r="1276">
      <c r="A1276" s="9">
        <v>1275.0</v>
      </c>
      <c r="B1276" s="9" t="s">
        <v>4742</v>
      </c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</row>
    <row r="1277">
      <c r="A1277" s="9">
        <v>1276.0</v>
      </c>
      <c r="B1277" s="9" t="s">
        <v>4743</v>
      </c>
      <c r="C1277" s="9">
        <v>1275.0</v>
      </c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</row>
    <row r="1278">
      <c r="A1278" s="9">
        <v>1277.0</v>
      </c>
      <c r="B1278" s="9" t="s">
        <v>4744</v>
      </c>
      <c r="C1278" s="9">
        <v>1275.0</v>
      </c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</row>
    <row r="1279">
      <c r="A1279" s="9">
        <v>1278.0</v>
      </c>
      <c r="B1279" s="9" t="s">
        <v>4745</v>
      </c>
      <c r="C1279" s="9">
        <v>1275.0</v>
      </c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</row>
    <row r="1280">
      <c r="A1280" s="9">
        <v>1279.0</v>
      </c>
      <c r="B1280" s="9" t="s">
        <v>4746</v>
      </c>
      <c r="C1280" s="9">
        <v>1275.0</v>
      </c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</row>
    <row r="1281">
      <c r="A1281" s="9">
        <v>1280.0</v>
      </c>
      <c r="B1281" s="9" t="s">
        <v>4747</v>
      </c>
      <c r="C1281" s="9">
        <v>1275.0</v>
      </c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</row>
    <row r="1282">
      <c r="A1282" s="9">
        <v>1281.0</v>
      </c>
      <c r="B1282" s="9" t="s">
        <v>4748</v>
      </c>
      <c r="C1282" s="9">
        <v>1275.0</v>
      </c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</row>
    <row r="1283">
      <c r="A1283" s="9">
        <v>1282.0</v>
      </c>
      <c r="B1283" s="9" t="s">
        <v>4749</v>
      </c>
      <c r="C1283" s="9">
        <v>1275.0</v>
      </c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</row>
    <row r="1284">
      <c r="A1284" s="9">
        <v>1283.0</v>
      </c>
      <c r="B1284" s="9" t="s">
        <v>4750</v>
      </c>
      <c r="C1284" s="9">
        <v>1275.0</v>
      </c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</row>
    <row r="1285">
      <c r="A1285" s="9">
        <v>1284.0</v>
      </c>
      <c r="B1285" s="9" t="s">
        <v>4751</v>
      </c>
      <c r="C1285" s="9">
        <v>1275.0</v>
      </c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</row>
    <row r="1286">
      <c r="A1286" s="9">
        <v>1285.0</v>
      </c>
      <c r="B1286" s="9" t="s">
        <v>4752</v>
      </c>
      <c r="C1286" s="9">
        <v>1275.0</v>
      </c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</row>
    <row r="1287">
      <c r="A1287" s="9">
        <v>1286.0</v>
      </c>
      <c r="B1287" s="9" t="s">
        <v>4753</v>
      </c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</row>
    <row r="1288">
      <c r="A1288" s="9">
        <v>1287.0</v>
      </c>
      <c r="B1288" s="9" t="s">
        <v>4754</v>
      </c>
      <c r="C1288" s="9">
        <v>1286.0</v>
      </c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</row>
    <row r="1289">
      <c r="A1289" s="9">
        <v>1288.0</v>
      </c>
      <c r="B1289" s="9" t="s">
        <v>4755</v>
      </c>
      <c r="C1289" s="9">
        <v>1286.0</v>
      </c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</row>
    <row r="1290">
      <c r="A1290" s="9">
        <v>1289.0</v>
      </c>
      <c r="B1290" s="9" t="s">
        <v>4756</v>
      </c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</row>
    <row r="1291">
      <c r="A1291" s="9">
        <v>1290.0</v>
      </c>
      <c r="B1291" s="9" t="s">
        <v>4757</v>
      </c>
      <c r="C1291" s="9">
        <v>1289.0</v>
      </c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</row>
    <row r="1292">
      <c r="A1292" s="9">
        <v>1291.0</v>
      </c>
      <c r="B1292" s="9" t="s">
        <v>4758</v>
      </c>
      <c r="C1292" s="9">
        <v>1289.0</v>
      </c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</row>
    <row r="1293">
      <c r="A1293" s="9">
        <v>1292.0</v>
      </c>
      <c r="B1293" s="9" t="s">
        <v>4759</v>
      </c>
      <c r="C1293" s="9">
        <v>1289.0</v>
      </c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</row>
    <row r="1294">
      <c r="A1294" s="9">
        <v>1293.0</v>
      </c>
      <c r="B1294" s="9" t="s">
        <v>4760</v>
      </c>
      <c r="C1294" s="9">
        <v>1289.0</v>
      </c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</row>
    <row r="1295">
      <c r="A1295" s="9">
        <v>1294.0</v>
      </c>
      <c r="B1295" s="9" t="s">
        <v>4761</v>
      </c>
      <c r="C1295" s="9">
        <v>1289.0</v>
      </c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</row>
    <row r="1296">
      <c r="A1296" s="9">
        <v>1295.0</v>
      </c>
      <c r="B1296" s="9" t="s">
        <v>4762</v>
      </c>
      <c r="C1296" s="9">
        <v>1289.0</v>
      </c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</row>
    <row r="1297">
      <c r="A1297" s="9">
        <v>1296.0</v>
      </c>
      <c r="B1297" s="9" t="s">
        <v>4763</v>
      </c>
      <c r="C1297" s="9">
        <v>1289.0</v>
      </c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</row>
    <row r="1298">
      <c r="A1298" s="9">
        <v>1297.0</v>
      </c>
      <c r="B1298" s="9" t="s">
        <v>4764</v>
      </c>
      <c r="C1298" s="9">
        <v>1289.0</v>
      </c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</row>
    <row r="1299">
      <c r="A1299" s="9">
        <v>1298.0</v>
      </c>
      <c r="B1299" s="9" t="s">
        <v>4765</v>
      </c>
      <c r="C1299" s="9">
        <v>1289.0</v>
      </c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</row>
    <row r="1300">
      <c r="A1300" s="9">
        <v>1299.0</v>
      </c>
      <c r="B1300" s="9" t="s">
        <v>4766</v>
      </c>
      <c r="C1300" s="9">
        <v>1289.0</v>
      </c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</row>
    <row r="1301">
      <c r="A1301" s="9">
        <v>1300.0</v>
      </c>
      <c r="B1301" s="9" t="s">
        <v>4767</v>
      </c>
      <c r="C1301" s="9">
        <v>1289.0</v>
      </c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</row>
    <row r="1302">
      <c r="A1302" s="9">
        <v>1301.0</v>
      </c>
      <c r="B1302" s="9" t="s">
        <v>4768</v>
      </c>
      <c r="C1302" s="9">
        <v>1289.0</v>
      </c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</row>
    <row r="1303">
      <c r="A1303" s="9">
        <v>1302.0</v>
      </c>
      <c r="B1303" s="9" t="s">
        <v>4769</v>
      </c>
      <c r="C1303" s="9">
        <v>1289.0</v>
      </c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</row>
    <row r="1304">
      <c r="A1304" s="9">
        <v>1303.0</v>
      </c>
      <c r="B1304" s="9" t="s">
        <v>4770</v>
      </c>
      <c r="C1304" s="9">
        <v>1289.0</v>
      </c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</row>
    <row r="1305">
      <c r="A1305" s="9">
        <v>1304.0</v>
      </c>
      <c r="B1305" s="9" t="s">
        <v>4771</v>
      </c>
      <c r="C1305" s="9">
        <v>1289.0</v>
      </c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</row>
    <row r="1306">
      <c r="A1306" s="9">
        <v>1305.0</v>
      </c>
      <c r="B1306" s="9" t="s">
        <v>4772</v>
      </c>
      <c r="C1306" s="9">
        <v>1289.0</v>
      </c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</row>
    <row r="1307">
      <c r="A1307" s="9">
        <v>1306.0</v>
      </c>
      <c r="B1307" s="9" t="s">
        <v>4773</v>
      </c>
      <c r="C1307" s="9">
        <v>1289.0</v>
      </c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</row>
    <row r="1308">
      <c r="A1308" s="9">
        <v>1307.0</v>
      </c>
      <c r="B1308" s="9" t="s">
        <v>4774</v>
      </c>
      <c r="C1308" s="9">
        <v>1289.0</v>
      </c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</row>
    <row r="1309">
      <c r="A1309" s="9">
        <v>1308.0</v>
      </c>
      <c r="B1309" s="9" t="s">
        <v>4775</v>
      </c>
      <c r="C1309" s="9">
        <v>1289.0</v>
      </c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</row>
    <row r="1310">
      <c r="A1310" s="9">
        <v>1309.0</v>
      </c>
      <c r="B1310" s="9" t="s">
        <v>4776</v>
      </c>
      <c r="C1310" s="9">
        <v>1289.0</v>
      </c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</row>
    <row r="1311">
      <c r="A1311" s="9">
        <v>1310.0</v>
      </c>
      <c r="B1311" s="9" t="s">
        <v>4777</v>
      </c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</row>
    <row r="1312">
      <c r="A1312" s="9">
        <v>1311.0</v>
      </c>
      <c r="B1312" s="9" t="s">
        <v>4778</v>
      </c>
      <c r="C1312" s="9">
        <v>1310.0</v>
      </c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</row>
    <row r="1313">
      <c r="A1313" s="9">
        <v>1312.0</v>
      </c>
      <c r="B1313" s="9" t="s">
        <v>4779</v>
      </c>
      <c r="C1313" s="9">
        <v>1310.0</v>
      </c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</row>
    <row r="1314">
      <c r="A1314" s="9">
        <v>1313.0</v>
      </c>
      <c r="B1314" s="9" t="s">
        <v>4780</v>
      </c>
      <c r="C1314" s="9">
        <v>1310.0</v>
      </c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</row>
    <row r="1315">
      <c r="A1315" s="9">
        <v>1314.0</v>
      </c>
      <c r="B1315" s="9" t="s">
        <v>4781</v>
      </c>
      <c r="C1315" s="9">
        <v>1310.0</v>
      </c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</row>
    <row r="1316">
      <c r="A1316" s="9">
        <v>1315.0</v>
      </c>
      <c r="B1316" s="9" t="s">
        <v>4782</v>
      </c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</row>
    <row r="1317">
      <c r="A1317" s="9">
        <v>1316.0</v>
      </c>
      <c r="B1317" s="9" t="s">
        <v>4783</v>
      </c>
      <c r="C1317" s="9">
        <v>1315.0</v>
      </c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</row>
    <row r="1318">
      <c r="A1318" s="9">
        <v>1317.0</v>
      </c>
      <c r="B1318" s="9" t="s">
        <v>4784</v>
      </c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</row>
    <row r="1319">
      <c r="A1319" s="9">
        <v>1318.0</v>
      </c>
      <c r="B1319" s="9" t="s">
        <v>4785</v>
      </c>
      <c r="C1319" s="9">
        <v>1317.0</v>
      </c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</row>
    <row r="1320">
      <c r="A1320" s="9">
        <v>1319.0</v>
      </c>
      <c r="B1320" s="9" t="s">
        <v>4786</v>
      </c>
      <c r="C1320" s="9">
        <v>1317.0</v>
      </c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</row>
    <row r="1321">
      <c r="A1321" s="9">
        <v>1320.0</v>
      </c>
      <c r="B1321" s="9" t="s">
        <v>4787</v>
      </c>
      <c r="C1321" s="9">
        <v>1317.0</v>
      </c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</row>
    <row r="1322">
      <c r="A1322" s="9">
        <v>1321.0</v>
      </c>
      <c r="B1322" s="9" t="s">
        <v>4788</v>
      </c>
      <c r="C1322" s="9">
        <v>1317.0</v>
      </c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</row>
    <row r="1323">
      <c r="A1323" s="9">
        <v>1322.0</v>
      </c>
      <c r="B1323" s="9" t="s">
        <v>4789</v>
      </c>
      <c r="C1323" s="9">
        <v>1317.0</v>
      </c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</row>
    <row r="1324">
      <c r="A1324" s="9">
        <v>1323.0</v>
      </c>
      <c r="B1324" s="9" t="s">
        <v>4790</v>
      </c>
      <c r="C1324" s="9">
        <v>1317.0</v>
      </c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</row>
    <row r="1325">
      <c r="A1325" s="9">
        <v>1324.0</v>
      </c>
      <c r="B1325" s="9" t="s">
        <v>4791</v>
      </c>
      <c r="C1325" s="9">
        <v>1317.0</v>
      </c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</row>
    <row r="1326">
      <c r="A1326" s="9">
        <v>1325.0</v>
      </c>
      <c r="B1326" s="9" t="s">
        <v>4792</v>
      </c>
      <c r="C1326" s="9">
        <v>1317.0</v>
      </c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</row>
    <row r="1327">
      <c r="A1327" s="9">
        <v>1326.0</v>
      </c>
      <c r="B1327" s="9" t="s">
        <v>4793</v>
      </c>
      <c r="C1327" s="9">
        <v>1317.0</v>
      </c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</row>
    <row r="1328">
      <c r="A1328" s="9">
        <v>1327.0</v>
      </c>
      <c r="B1328" s="9" t="s">
        <v>4794</v>
      </c>
      <c r="C1328" s="9">
        <v>1317.0</v>
      </c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</row>
    <row r="1329">
      <c r="A1329" s="9">
        <v>1328.0</v>
      </c>
      <c r="B1329" s="9" t="s">
        <v>4795</v>
      </c>
      <c r="C1329" s="9">
        <v>1317.0</v>
      </c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</row>
    <row r="1330">
      <c r="A1330" s="9">
        <v>1329.0</v>
      </c>
      <c r="B1330" s="9" t="s">
        <v>4796</v>
      </c>
      <c r="C1330" s="9">
        <v>1317.0</v>
      </c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</row>
    <row r="1331">
      <c r="A1331" s="9">
        <v>1330.0</v>
      </c>
      <c r="B1331" s="9" t="s">
        <v>4797</v>
      </c>
      <c r="C1331" s="9">
        <v>1317.0</v>
      </c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</row>
    <row r="1332">
      <c r="A1332" s="9">
        <v>1331.0</v>
      </c>
      <c r="B1332" s="9" t="s">
        <v>4798</v>
      </c>
      <c r="C1332" s="9">
        <v>1317.0</v>
      </c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</row>
    <row r="1333">
      <c r="A1333" s="9">
        <v>1332.0</v>
      </c>
      <c r="B1333" s="9" t="s">
        <v>4799</v>
      </c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</row>
    <row r="1334">
      <c r="A1334" s="9">
        <v>1333.0</v>
      </c>
      <c r="B1334" s="9" t="s">
        <v>4800</v>
      </c>
      <c r="C1334" s="9">
        <v>1332.0</v>
      </c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</row>
    <row r="1335">
      <c r="A1335" s="9">
        <v>1334.0</v>
      </c>
      <c r="B1335" s="9" t="s">
        <v>4801</v>
      </c>
      <c r="C1335" s="9">
        <v>1332.0</v>
      </c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</row>
    <row r="1336">
      <c r="A1336" s="9">
        <v>1335.0</v>
      </c>
      <c r="B1336" s="9" t="s">
        <v>4802</v>
      </c>
      <c r="C1336" s="9">
        <v>1332.0</v>
      </c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</row>
    <row r="1337">
      <c r="A1337" s="9">
        <v>1336.0</v>
      </c>
      <c r="B1337" s="9" t="s">
        <v>4803</v>
      </c>
      <c r="C1337" s="9">
        <v>1332.0</v>
      </c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</row>
    <row r="1338">
      <c r="A1338" s="9">
        <v>1337.0</v>
      </c>
      <c r="B1338" s="9" t="s">
        <v>4804</v>
      </c>
      <c r="C1338" s="9">
        <v>1332.0</v>
      </c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</row>
    <row r="1339">
      <c r="A1339" s="9">
        <v>1338.0</v>
      </c>
      <c r="B1339" s="9" t="s">
        <v>4805</v>
      </c>
      <c r="C1339" s="9">
        <v>1332.0</v>
      </c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</row>
    <row r="1340">
      <c r="A1340" s="9">
        <v>1339.0</v>
      </c>
      <c r="B1340" s="9" t="s">
        <v>4806</v>
      </c>
      <c r="C1340" s="9">
        <v>1332.0</v>
      </c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</row>
    <row r="1341">
      <c r="A1341" s="9">
        <v>1340.0</v>
      </c>
      <c r="B1341" s="9" t="s">
        <v>4807</v>
      </c>
      <c r="C1341" s="9">
        <v>1332.0</v>
      </c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</row>
    <row r="1342">
      <c r="A1342" s="9">
        <v>1341.0</v>
      </c>
      <c r="B1342" s="9" t="s">
        <v>4808</v>
      </c>
      <c r="C1342" s="9">
        <v>1332.0</v>
      </c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</row>
    <row r="1343">
      <c r="A1343" s="9">
        <v>1342.0</v>
      </c>
      <c r="B1343" s="9" t="s">
        <v>4809</v>
      </c>
      <c r="C1343" s="9">
        <v>1332.0</v>
      </c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</row>
    <row r="1344">
      <c r="A1344" s="9">
        <v>1343.0</v>
      </c>
      <c r="B1344" s="9" t="s">
        <v>4810</v>
      </c>
      <c r="C1344" s="9">
        <v>1332.0</v>
      </c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</row>
    <row r="1345">
      <c r="A1345" s="9">
        <v>1344.0</v>
      </c>
      <c r="B1345" s="9" t="s">
        <v>4811</v>
      </c>
      <c r="C1345" s="9">
        <v>1332.0</v>
      </c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</row>
    <row r="1346">
      <c r="A1346" s="9">
        <v>1345.0</v>
      </c>
      <c r="B1346" s="9" t="s">
        <v>4812</v>
      </c>
      <c r="C1346" s="9">
        <v>1332.0</v>
      </c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</row>
    <row r="1347">
      <c r="A1347" s="9">
        <v>1346.0</v>
      </c>
      <c r="B1347" s="9" t="s">
        <v>4813</v>
      </c>
      <c r="C1347" s="9">
        <v>1332.0</v>
      </c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</row>
    <row r="1348">
      <c r="A1348" s="9">
        <v>1347.0</v>
      </c>
      <c r="B1348" s="9" t="s">
        <v>4814</v>
      </c>
      <c r="C1348" s="9">
        <v>1332.0</v>
      </c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</row>
    <row r="1349">
      <c r="A1349" s="9">
        <v>1348.0</v>
      </c>
      <c r="B1349" s="9" t="s">
        <v>4815</v>
      </c>
      <c r="C1349" s="9">
        <v>1332.0</v>
      </c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</row>
    <row r="1350">
      <c r="A1350" s="9">
        <v>1349.0</v>
      </c>
      <c r="B1350" s="9" t="s">
        <v>4816</v>
      </c>
      <c r="C1350" s="9">
        <v>1332.0</v>
      </c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</row>
    <row r="1351">
      <c r="A1351" s="9">
        <v>1350.0</v>
      </c>
      <c r="B1351" s="9" t="s">
        <v>4817</v>
      </c>
      <c r="C1351" s="9">
        <v>1332.0</v>
      </c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</row>
    <row r="1352">
      <c r="A1352" s="9">
        <v>1351.0</v>
      </c>
      <c r="B1352" s="9" t="s">
        <v>4818</v>
      </c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</row>
    <row r="1353">
      <c r="A1353" s="9">
        <v>1352.0</v>
      </c>
      <c r="B1353" s="9" t="s">
        <v>4819</v>
      </c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</row>
    <row r="1354">
      <c r="A1354" s="9">
        <v>1353.0</v>
      </c>
      <c r="B1354" s="9" t="s">
        <v>4820</v>
      </c>
      <c r="C1354" s="9">
        <v>1352.0</v>
      </c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</row>
    <row r="1355">
      <c r="A1355" s="9">
        <v>1354.0</v>
      </c>
      <c r="B1355" s="9" t="s">
        <v>4821</v>
      </c>
      <c r="C1355" s="9">
        <v>1352.0</v>
      </c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</row>
    <row r="1356">
      <c r="A1356" s="9">
        <v>1355.0</v>
      </c>
      <c r="B1356" s="9" t="s">
        <v>4822</v>
      </c>
      <c r="C1356" s="9">
        <v>1352.0</v>
      </c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</row>
    <row r="1357">
      <c r="A1357" s="9">
        <v>1356.0</v>
      </c>
      <c r="B1357" s="9" t="s">
        <v>4823</v>
      </c>
      <c r="C1357" s="9">
        <v>1352.0</v>
      </c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</row>
    <row r="1358">
      <c r="A1358" s="9">
        <v>1357.0</v>
      </c>
      <c r="B1358" s="9" t="s">
        <v>4824</v>
      </c>
      <c r="C1358" s="9">
        <v>1352.0</v>
      </c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</row>
    <row r="1359">
      <c r="A1359" s="9">
        <v>1358.0</v>
      </c>
      <c r="B1359" s="9" t="s">
        <v>4825</v>
      </c>
      <c r="C1359" s="9">
        <v>1352.0</v>
      </c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</row>
    <row r="1360">
      <c r="A1360" s="9">
        <v>1359.0</v>
      </c>
      <c r="B1360" s="9" t="s">
        <v>4826</v>
      </c>
      <c r="C1360" s="9">
        <v>1352.0</v>
      </c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</row>
    <row r="1361">
      <c r="A1361" s="9">
        <v>1360.0</v>
      </c>
      <c r="B1361" s="9" t="s">
        <v>4827</v>
      </c>
      <c r="C1361" s="9">
        <v>1352.0</v>
      </c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</row>
    <row r="1362">
      <c r="A1362" s="9">
        <v>1361.0</v>
      </c>
      <c r="B1362" s="9" t="s">
        <v>4828</v>
      </c>
      <c r="C1362" s="9">
        <v>1352.0</v>
      </c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</row>
    <row r="1363">
      <c r="A1363" s="9">
        <v>1362.0</v>
      </c>
      <c r="B1363" s="9" t="s">
        <v>4829</v>
      </c>
      <c r="C1363" s="9">
        <v>1352.0</v>
      </c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</row>
    <row r="1364">
      <c r="A1364" s="9">
        <v>1363.0</v>
      </c>
      <c r="B1364" s="9" t="s">
        <v>4830</v>
      </c>
      <c r="C1364" s="9">
        <v>1352.0</v>
      </c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</row>
    <row r="1365">
      <c r="A1365" s="9">
        <v>1364.0</v>
      </c>
      <c r="B1365" s="9" t="s">
        <v>4831</v>
      </c>
      <c r="C1365" s="9">
        <v>1352.0</v>
      </c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</row>
    <row r="1366">
      <c r="A1366" s="9">
        <v>1365.0</v>
      </c>
      <c r="B1366" s="9" t="s">
        <v>4832</v>
      </c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</row>
    <row r="1367">
      <c r="A1367" s="9">
        <v>1366.0</v>
      </c>
      <c r="B1367" s="9" t="s">
        <v>4833</v>
      </c>
      <c r="C1367" s="9">
        <v>1365.0</v>
      </c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</row>
    <row r="1368">
      <c r="A1368" s="9">
        <v>1367.0</v>
      </c>
      <c r="B1368" s="9" t="s">
        <v>4834</v>
      </c>
      <c r="C1368" s="9">
        <v>1365.0</v>
      </c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</row>
    <row r="1369">
      <c r="A1369" s="9">
        <v>1368.0</v>
      </c>
      <c r="B1369" s="9" t="s">
        <v>4835</v>
      </c>
      <c r="C1369" s="9">
        <v>1365.0</v>
      </c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</row>
    <row r="1370">
      <c r="A1370" s="9">
        <v>1369.0</v>
      </c>
      <c r="B1370" s="9" t="s">
        <v>4836</v>
      </c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</row>
    <row r="1371">
      <c r="A1371" s="9">
        <v>1370.0</v>
      </c>
      <c r="B1371" s="9" t="s">
        <v>4837</v>
      </c>
      <c r="C1371" s="9">
        <v>1369.0</v>
      </c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</row>
    <row r="1372">
      <c r="A1372" s="9">
        <v>1371.0</v>
      </c>
      <c r="B1372" s="9" t="s">
        <v>4838</v>
      </c>
      <c r="C1372" s="9">
        <v>1369.0</v>
      </c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</row>
    <row r="1373">
      <c r="A1373" s="9">
        <v>1372.0</v>
      </c>
      <c r="B1373" s="9" t="s">
        <v>4839</v>
      </c>
      <c r="C1373" s="9">
        <v>1369.0</v>
      </c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</row>
    <row r="1374">
      <c r="A1374" s="9">
        <v>1373.0</v>
      </c>
      <c r="B1374" s="9" t="s">
        <v>4840</v>
      </c>
      <c r="C1374" s="9">
        <v>1369.0</v>
      </c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</row>
    <row r="1375">
      <c r="A1375" s="9">
        <v>1374.0</v>
      </c>
      <c r="B1375" s="9" t="s">
        <v>4841</v>
      </c>
      <c r="C1375" s="9">
        <v>1369.0</v>
      </c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</row>
    <row r="1376">
      <c r="A1376" s="9">
        <v>1375.0</v>
      </c>
      <c r="B1376" s="9" t="s">
        <v>4842</v>
      </c>
      <c r="C1376" s="9">
        <v>1369.0</v>
      </c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</row>
    <row r="1377">
      <c r="A1377" s="9">
        <v>1376.0</v>
      </c>
      <c r="B1377" s="9" t="s">
        <v>4843</v>
      </c>
      <c r="C1377" s="9">
        <v>1369.0</v>
      </c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</row>
    <row r="1378">
      <c r="A1378" s="9">
        <v>1377.0</v>
      </c>
      <c r="B1378" s="9" t="s">
        <v>4844</v>
      </c>
      <c r="C1378" s="9">
        <v>1369.0</v>
      </c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</row>
    <row r="1379">
      <c r="A1379" s="9">
        <v>1378.0</v>
      </c>
      <c r="B1379" s="9" t="s">
        <v>4845</v>
      </c>
      <c r="C1379" s="9">
        <v>1369.0</v>
      </c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</row>
    <row r="1380">
      <c r="A1380" s="9">
        <v>1379.0</v>
      </c>
      <c r="B1380" s="9" t="s">
        <v>4846</v>
      </c>
      <c r="C1380" s="9">
        <v>1369.0</v>
      </c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</row>
    <row r="1381">
      <c r="A1381" s="9">
        <v>1380.0</v>
      </c>
      <c r="B1381" s="9" t="s">
        <v>4847</v>
      </c>
      <c r="C1381" s="9">
        <v>1369.0</v>
      </c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</row>
    <row r="1382">
      <c r="A1382" s="9">
        <v>1381.0</v>
      </c>
      <c r="B1382" s="9" t="s">
        <v>4848</v>
      </c>
      <c r="C1382" s="9">
        <v>1369.0</v>
      </c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</row>
    <row r="1383">
      <c r="A1383" s="9">
        <v>1382.0</v>
      </c>
      <c r="B1383" s="9" t="s">
        <v>4849</v>
      </c>
      <c r="C1383" s="9">
        <v>1369.0</v>
      </c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</row>
    <row r="1384">
      <c r="A1384" s="9">
        <v>1383.0</v>
      </c>
      <c r="B1384" s="9" t="s">
        <v>4850</v>
      </c>
      <c r="C1384" s="9">
        <v>1369.0</v>
      </c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</row>
    <row r="1385">
      <c r="A1385" s="9">
        <v>1384.0</v>
      </c>
      <c r="B1385" s="9" t="s">
        <v>4851</v>
      </c>
      <c r="C1385" s="9">
        <v>1369.0</v>
      </c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</row>
    <row r="1386">
      <c r="A1386" s="9">
        <v>1385.0</v>
      </c>
      <c r="B1386" s="9" t="s">
        <v>4852</v>
      </c>
      <c r="C1386" s="9">
        <v>1369.0</v>
      </c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</row>
    <row r="1387">
      <c r="A1387" s="9">
        <v>1386.0</v>
      </c>
      <c r="B1387" s="9" t="s">
        <v>4853</v>
      </c>
      <c r="C1387" s="9">
        <v>1369.0</v>
      </c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</row>
    <row r="1388">
      <c r="A1388" s="9">
        <v>1387.0</v>
      </c>
      <c r="B1388" s="9" t="s">
        <v>4854</v>
      </c>
      <c r="C1388" s="9">
        <v>1369.0</v>
      </c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</row>
    <row r="1389">
      <c r="A1389" s="9">
        <v>1388.0</v>
      </c>
      <c r="B1389" s="9" t="s">
        <v>4855</v>
      </c>
      <c r="C1389" s="9">
        <v>1369.0</v>
      </c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</row>
    <row r="1390">
      <c r="A1390" s="9">
        <v>1389.0</v>
      </c>
      <c r="B1390" s="9" t="s">
        <v>4856</v>
      </c>
      <c r="C1390" s="9">
        <v>1369.0</v>
      </c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</row>
    <row r="1391">
      <c r="A1391" s="9">
        <v>1390.0</v>
      </c>
      <c r="B1391" s="9" t="s">
        <v>4857</v>
      </c>
      <c r="C1391" s="9">
        <v>1369.0</v>
      </c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</row>
    <row r="1392">
      <c r="A1392" s="9">
        <v>1391.0</v>
      </c>
      <c r="B1392" s="9" t="s">
        <v>4858</v>
      </c>
      <c r="C1392" s="9">
        <v>1369.0</v>
      </c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</row>
    <row r="1393">
      <c r="A1393" s="9">
        <v>1392.0</v>
      </c>
      <c r="B1393" s="9" t="s">
        <v>4859</v>
      </c>
      <c r="C1393" s="9">
        <v>1369.0</v>
      </c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</row>
    <row r="1394">
      <c r="A1394" s="9">
        <v>1393.0</v>
      </c>
      <c r="B1394" s="9" t="s">
        <v>4860</v>
      </c>
      <c r="C1394" s="9">
        <v>1369.0</v>
      </c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</row>
    <row r="1395">
      <c r="A1395" s="9">
        <v>1394.0</v>
      </c>
      <c r="B1395" s="9" t="s">
        <v>4861</v>
      </c>
      <c r="C1395" s="9">
        <v>1369.0</v>
      </c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</row>
    <row r="1396">
      <c r="A1396" s="9">
        <v>1395.0</v>
      </c>
      <c r="B1396" s="9" t="s">
        <v>4862</v>
      </c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</row>
    <row r="1397">
      <c r="A1397" s="9">
        <v>1396.0</v>
      </c>
      <c r="B1397" s="9" t="s">
        <v>4863</v>
      </c>
      <c r="C1397" s="9">
        <v>1395.0</v>
      </c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</row>
    <row r="1398">
      <c r="A1398" s="9">
        <v>1397.0</v>
      </c>
      <c r="B1398" s="9" t="s">
        <v>4864</v>
      </c>
      <c r="C1398" s="9">
        <v>1395.0</v>
      </c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</row>
    <row r="1399">
      <c r="A1399" s="9">
        <v>1398.0</v>
      </c>
      <c r="B1399" s="9" t="s">
        <v>4865</v>
      </c>
      <c r="C1399" s="9">
        <v>1395.0</v>
      </c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</row>
    <row r="1400">
      <c r="A1400" s="9">
        <v>1399.0</v>
      </c>
      <c r="B1400" s="9" t="s">
        <v>4866</v>
      </c>
      <c r="C1400" s="9">
        <v>1395.0</v>
      </c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</row>
    <row r="1401">
      <c r="A1401" s="9">
        <v>1400.0</v>
      </c>
      <c r="B1401" s="9" t="s">
        <v>4867</v>
      </c>
      <c r="C1401" s="9">
        <v>1395.0</v>
      </c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</row>
    <row r="1402">
      <c r="A1402" s="9">
        <v>1401.0</v>
      </c>
      <c r="B1402" s="9" t="s">
        <v>4868</v>
      </c>
      <c r="C1402" s="9">
        <v>1395.0</v>
      </c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</row>
    <row r="1403">
      <c r="A1403" s="9">
        <v>1402.0</v>
      </c>
      <c r="B1403" s="9" t="s">
        <v>4869</v>
      </c>
      <c r="C1403" s="9">
        <v>1395.0</v>
      </c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</row>
    <row r="1404">
      <c r="A1404" s="9">
        <v>1403.0</v>
      </c>
      <c r="B1404" s="9" t="s">
        <v>4870</v>
      </c>
      <c r="C1404" s="9">
        <v>1395.0</v>
      </c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</row>
    <row r="1405">
      <c r="A1405" s="9">
        <v>1404.0</v>
      </c>
      <c r="B1405" s="9" t="s">
        <v>4871</v>
      </c>
      <c r="C1405" s="9">
        <v>1395.0</v>
      </c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</row>
    <row r="1406">
      <c r="A1406" s="9">
        <v>1405.0</v>
      </c>
      <c r="B1406" s="9" t="s">
        <v>4872</v>
      </c>
      <c r="C1406" s="9">
        <v>1395.0</v>
      </c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</row>
    <row r="1407">
      <c r="A1407" s="9">
        <v>1406.0</v>
      </c>
      <c r="B1407" s="9" t="s">
        <v>4873</v>
      </c>
      <c r="C1407" s="9">
        <v>1395.0</v>
      </c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</row>
    <row r="1408">
      <c r="A1408" s="9">
        <v>1407.0</v>
      </c>
      <c r="B1408" s="9" t="s">
        <v>4874</v>
      </c>
      <c r="C1408" s="9">
        <v>1395.0</v>
      </c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</row>
    <row r="1409">
      <c r="A1409" s="9">
        <v>1408.0</v>
      </c>
      <c r="B1409" s="9" t="s">
        <v>4875</v>
      </c>
      <c r="C1409" s="9">
        <v>1395.0</v>
      </c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</row>
    <row r="1410">
      <c r="A1410" s="9">
        <v>1409.0</v>
      </c>
      <c r="B1410" s="9" t="s">
        <v>4876</v>
      </c>
      <c r="C1410" s="9">
        <v>1395.0</v>
      </c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</row>
    <row r="1411">
      <c r="A1411" s="9">
        <v>1410.0</v>
      </c>
      <c r="B1411" s="9" t="s">
        <v>4877</v>
      </c>
      <c r="C1411" s="9">
        <v>1395.0</v>
      </c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</row>
    <row r="1412">
      <c r="A1412" s="9">
        <v>1411.0</v>
      </c>
      <c r="B1412" s="9" t="s">
        <v>4878</v>
      </c>
      <c r="C1412" s="9">
        <v>1395.0</v>
      </c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</row>
    <row r="1413">
      <c r="A1413" s="9">
        <v>1412.0</v>
      </c>
      <c r="B1413" s="9" t="s">
        <v>4879</v>
      </c>
      <c r="C1413" s="9">
        <v>1395.0</v>
      </c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</row>
    <row r="1414">
      <c r="A1414" s="9">
        <v>1413.0</v>
      </c>
      <c r="B1414" s="9" t="s">
        <v>4880</v>
      </c>
      <c r="C1414" s="9">
        <v>1395.0</v>
      </c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</row>
    <row r="1415">
      <c r="A1415" s="9">
        <v>1414.0</v>
      </c>
      <c r="B1415" s="9" t="s">
        <v>4881</v>
      </c>
      <c r="C1415" s="9">
        <v>1395.0</v>
      </c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</row>
    <row r="1416">
      <c r="A1416" s="9">
        <v>1415.0</v>
      </c>
      <c r="B1416" s="9" t="s">
        <v>4882</v>
      </c>
      <c r="C1416" s="9">
        <v>1395.0</v>
      </c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</row>
    <row r="1417">
      <c r="A1417" s="9">
        <v>1416.0</v>
      </c>
      <c r="B1417" s="9" t="s">
        <v>4883</v>
      </c>
      <c r="C1417" s="9">
        <v>1395.0</v>
      </c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</row>
    <row r="1418">
      <c r="A1418" s="9">
        <v>1417.0</v>
      </c>
      <c r="B1418" s="9" t="s">
        <v>4884</v>
      </c>
      <c r="C1418" s="9">
        <v>1395.0</v>
      </c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</row>
    <row r="1419">
      <c r="A1419" s="9">
        <v>1418.0</v>
      </c>
      <c r="B1419" s="9" t="s">
        <v>4885</v>
      </c>
      <c r="C1419" s="9">
        <v>1395.0</v>
      </c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</row>
    <row r="1420">
      <c r="A1420" s="9">
        <v>1419.0</v>
      </c>
      <c r="B1420" s="9" t="s">
        <v>4886</v>
      </c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</row>
    <row r="1421">
      <c r="A1421" s="9">
        <v>1420.0</v>
      </c>
      <c r="B1421" s="9" t="s">
        <v>4887</v>
      </c>
      <c r="C1421" s="9">
        <v>1419.0</v>
      </c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</row>
    <row r="1422">
      <c r="A1422" s="9">
        <v>1421.0</v>
      </c>
      <c r="B1422" s="9" t="s">
        <v>4888</v>
      </c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</row>
    <row r="1423">
      <c r="A1423" s="9">
        <v>1422.0</v>
      </c>
      <c r="B1423" s="9" t="s">
        <v>4889</v>
      </c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</row>
    <row r="1424">
      <c r="A1424" s="9">
        <v>1423.0</v>
      </c>
      <c r="B1424" s="9" t="s">
        <v>4890</v>
      </c>
      <c r="C1424" s="9">
        <v>1422.0</v>
      </c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</row>
    <row r="1425">
      <c r="A1425" s="9">
        <v>1424.0</v>
      </c>
      <c r="B1425" s="9" t="s">
        <v>4891</v>
      </c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</row>
    <row r="1426">
      <c r="A1426" s="9">
        <v>1425.0</v>
      </c>
      <c r="B1426" s="9" t="s">
        <v>4892</v>
      </c>
      <c r="C1426" s="9">
        <v>1424.0</v>
      </c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</row>
    <row r="1427">
      <c r="A1427" s="9">
        <v>1426.0</v>
      </c>
      <c r="B1427" s="9" t="s">
        <v>4893</v>
      </c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</row>
    <row r="1428">
      <c r="A1428" s="9">
        <v>1427.0</v>
      </c>
      <c r="B1428" s="9" t="s">
        <v>4894</v>
      </c>
      <c r="C1428" s="9">
        <v>1426.0</v>
      </c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</row>
    <row r="1429">
      <c r="A1429" s="9">
        <v>1428.0</v>
      </c>
      <c r="B1429" s="9" t="s">
        <v>4895</v>
      </c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</row>
    <row r="1430">
      <c r="A1430" s="9">
        <v>1429.0</v>
      </c>
      <c r="B1430" s="9" t="s">
        <v>4896</v>
      </c>
      <c r="C1430" s="9">
        <v>1428.0</v>
      </c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</row>
    <row r="1431">
      <c r="A1431" s="9">
        <v>1430.0</v>
      </c>
      <c r="B1431" s="9" t="s">
        <v>4897</v>
      </c>
      <c r="C1431" s="9">
        <v>1428.0</v>
      </c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</row>
    <row r="1432">
      <c r="A1432" s="9">
        <v>1431.0</v>
      </c>
      <c r="B1432" s="9" t="s">
        <v>4898</v>
      </c>
      <c r="C1432" s="9">
        <v>1428.0</v>
      </c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</row>
    <row r="1433">
      <c r="A1433" s="9">
        <v>1432.0</v>
      </c>
      <c r="B1433" s="9" t="s">
        <v>4899</v>
      </c>
      <c r="C1433" s="9">
        <v>1428.0</v>
      </c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</row>
    <row r="1434">
      <c r="A1434" s="9">
        <v>1433.0</v>
      </c>
      <c r="B1434" s="9" t="s">
        <v>4900</v>
      </c>
      <c r="C1434" s="9">
        <v>1428.0</v>
      </c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</row>
    <row r="1435">
      <c r="A1435" s="9">
        <v>1434.0</v>
      </c>
      <c r="B1435" s="9" t="s">
        <v>4901</v>
      </c>
      <c r="C1435" s="9">
        <v>1428.0</v>
      </c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</row>
    <row r="1436">
      <c r="A1436" s="9">
        <v>1435.0</v>
      </c>
      <c r="B1436" s="9" t="s">
        <v>4902</v>
      </c>
      <c r="C1436" s="9">
        <v>1428.0</v>
      </c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</row>
    <row r="1437">
      <c r="A1437" s="9">
        <v>1436.0</v>
      </c>
      <c r="B1437" s="9" t="s">
        <v>4903</v>
      </c>
      <c r="C1437" s="9">
        <v>1428.0</v>
      </c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</row>
    <row r="1438">
      <c r="A1438" s="9">
        <v>1437.0</v>
      </c>
      <c r="B1438" s="9" t="s">
        <v>4904</v>
      </c>
      <c r="C1438" s="9">
        <v>1428.0</v>
      </c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</row>
    <row r="1439">
      <c r="A1439" s="9">
        <v>1438.0</v>
      </c>
      <c r="B1439" s="9" t="s">
        <v>4905</v>
      </c>
      <c r="C1439" s="9">
        <v>1428.0</v>
      </c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</row>
    <row r="1440">
      <c r="A1440" s="9">
        <v>1439.0</v>
      </c>
      <c r="B1440" s="9" t="s">
        <v>4906</v>
      </c>
      <c r="C1440" s="9">
        <v>1428.0</v>
      </c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</row>
    <row r="1441">
      <c r="A1441" s="9">
        <v>1440.0</v>
      </c>
      <c r="B1441" s="9" t="s">
        <v>4907</v>
      </c>
      <c r="C1441" s="9">
        <v>1428.0</v>
      </c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</row>
    <row r="1442">
      <c r="A1442" s="9">
        <v>1441.0</v>
      </c>
      <c r="B1442" s="9" t="s">
        <v>4908</v>
      </c>
      <c r="C1442" s="9">
        <v>1428.0</v>
      </c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</row>
    <row r="1443">
      <c r="A1443" s="9">
        <v>1442.0</v>
      </c>
      <c r="B1443" s="9" t="s">
        <v>4909</v>
      </c>
      <c r="C1443" s="9">
        <v>1428.0</v>
      </c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</row>
    <row r="1444">
      <c r="A1444" s="9">
        <v>1443.0</v>
      </c>
      <c r="B1444" s="9" t="s">
        <v>4910</v>
      </c>
      <c r="C1444" s="9">
        <v>1428.0</v>
      </c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</row>
    <row r="1445">
      <c r="A1445" s="9">
        <v>1444.0</v>
      </c>
      <c r="B1445" s="9" t="s">
        <v>4911</v>
      </c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</row>
    <row r="1446">
      <c r="A1446" s="9">
        <v>1445.0</v>
      </c>
      <c r="B1446" s="9" t="s">
        <v>4912</v>
      </c>
      <c r="C1446" s="9">
        <v>1444.0</v>
      </c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</row>
    <row r="1447">
      <c r="A1447" s="9">
        <v>1446.0</v>
      </c>
      <c r="B1447" s="9" t="s">
        <v>4913</v>
      </c>
      <c r="C1447" s="9">
        <v>1444.0</v>
      </c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</row>
    <row r="1448">
      <c r="A1448" s="9">
        <v>1447.0</v>
      </c>
      <c r="B1448" s="9" t="s">
        <v>4914</v>
      </c>
      <c r="C1448" s="9">
        <v>1444.0</v>
      </c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</row>
    <row r="1449">
      <c r="A1449" s="9">
        <v>1448.0</v>
      </c>
      <c r="B1449" s="9" t="s">
        <v>4915</v>
      </c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</row>
    <row r="1450">
      <c r="A1450" s="9">
        <v>1449.0</v>
      </c>
      <c r="B1450" s="9" t="s">
        <v>4916</v>
      </c>
      <c r="C1450" s="9">
        <v>1448.0</v>
      </c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</row>
    <row r="1451">
      <c r="A1451" s="9">
        <v>1450.0</v>
      </c>
      <c r="B1451" s="9" t="s">
        <v>4917</v>
      </c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</row>
    <row r="1452">
      <c r="A1452" s="9">
        <v>1451.0</v>
      </c>
      <c r="B1452" s="9" t="s">
        <v>4918</v>
      </c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</row>
    <row r="1453">
      <c r="A1453" s="9">
        <v>1452.0</v>
      </c>
      <c r="B1453" s="9" t="s">
        <v>4919</v>
      </c>
      <c r="C1453" s="9">
        <v>1451.0</v>
      </c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</row>
    <row r="1454">
      <c r="A1454" s="9">
        <v>1453.0</v>
      </c>
      <c r="B1454" s="9" t="s">
        <v>4920</v>
      </c>
      <c r="C1454" s="9">
        <v>1451.0</v>
      </c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</row>
    <row r="1455">
      <c r="A1455" s="9">
        <v>1454.0</v>
      </c>
      <c r="B1455" s="9" t="s">
        <v>4921</v>
      </c>
      <c r="C1455" s="9">
        <v>1451.0</v>
      </c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</row>
    <row r="1456">
      <c r="A1456" s="9">
        <v>1455.0</v>
      </c>
      <c r="B1456" s="9" t="s">
        <v>4922</v>
      </c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</row>
    <row r="1457">
      <c r="A1457" s="9">
        <v>1456.0</v>
      </c>
      <c r="B1457" s="9" t="s">
        <v>4923</v>
      </c>
      <c r="C1457" s="9">
        <v>1455.0</v>
      </c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</row>
    <row r="1458">
      <c r="A1458" s="9">
        <v>1457.0</v>
      </c>
      <c r="B1458" s="9" t="s">
        <v>4924</v>
      </c>
      <c r="C1458" s="9">
        <v>1455.0</v>
      </c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</row>
    <row r="1459">
      <c r="A1459" s="9">
        <v>1458.0</v>
      </c>
      <c r="B1459" s="9" t="s">
        <v>4925</v>
      </c>
      <c r="C1459" s="9">
        <v>1455.0</v>
      </c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</row>
    <row r="1460">
      <c r="A1460" s="9">
        <v>1459.0</v>
      </c>
      <c r="B1460" s="9" t="s">
        <v>4926</v>
      </c>
      <c r="C1460" s="9">
        <v>1455.0</v>
      </c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</row>
    <row r="1461">
      <c r="A1461" s="9">
        <v>1460.0</v>
      </c>
      <c r="B1461" s="9" t="s">
        <v>4927</v>
      </c>
      <c r="C1461" s="9">
        <v>1455.0</v>
      </c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</row>
    <row r="1462">
      <c r="A1462" s="9">
        <v>1461.0</v>
      </c>
      <c r="B1462" s="9" t="s">
        <v>4928</v>
      </c>
      <c r="C1462" s="9">
        <v>1455.0</v>
      </c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</row>
    <row r="1463">
      <c r="A1463" s="9">
        <v>1462.0</v>
      </c>
      <c r="B1463" s="9" t="s">
        <v>4929</v>
      </c>
      <c r="C1463" s="9">
        <v>1455.0</v>
      </c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</row>
    <row r="1464">
      <c r="A1464" s="9">
        <v>1463.0</v>
      </c>
      <c r="B1464" s="9" t="s">
        <v>4930</v>
      </c>
      <c r="C1464" s="9">
        <v>1455.0</v>
      </c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</row>
    <row r="1465">
      <c r="A1465" s="9">
        <v>1464.0</v>
      </c>
      <c r="B1465" s="9" t="s">
        <v>4931</v>
      </c>
      <c r="C1465" s="9">
        <v>1455.0</v>
      </c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</row>
    <row r="1466">
      <c r="A1466" s="9">
        <v>1465.0</v>
      </c>
      <c r="B1466" s="9" t="s">
        <v>4932</v>
      </c>
      <c r="C1466" s="9">
        <v>1455.0</v>
      </c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</row>
    <row r="1467">
      <c r="A1467" s="9">
        <v>1466.0</v>
      </c>
      <c r="B1467" s="9" t="s">
        <v>4933</v>
      </c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</row>
    <row r="1468">
      <c r="A1468" s="9">
        <v>1467.0</v>
      </c>
      <c r="B1468" s="9" t="s">
        <v>4934</v>
      </c>
      <c r="C1468" s="9">
        <v>1466.0</v>
      </c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</row>
    <row r="1469">
      <c r="A1469" s="9">
        <v>1468.0</v>
      </c>
      <c r="B1469" s="9" t="s">
        <v>4935</v>
      </c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</row>
    <row r="1470">
      <c r="A1470" s="9">
        <v>1469.0</v>
      </c>
      <c r="B1470" s="9" t="s">
        <v>4936</v>
      </c>
      <c r="C1470" s="9">
        <v>1468.0</v>
      </c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</row>
    <row r="1471">
      <c r="A1471" s="9">
        <v>1470.0</v>
      </c>
      <c r="B1471" s="9" t="s">
        <v>4937</v>
      </c>
      <c r="C1471" s="9">
        <v>1468.0</v>
      </c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</row>
    <row r="1472">
      <c r="A1472" s="9">
        <v>1471.0</v>
      </c>
      <c r="B1472" s="9" t="s">
        <v>4938</v>
      </c>
      <c r="C1472" s="9">
        <v>1468.0</v>
      </c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</row>
    <row r="1473">
      <c r="A1473" s="9">
        <v>1472.0</v>
      </c>
      <c r="B1473" s="9" t="s">
        <v>4939</v>
      </c>
      <c r="C1473" s="9">
        <v>1468.0</v>
      </c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</row>
    <row r="1474">
      <c r="A1474" s="9">
        <v>1473.0</v>
      </c>
      <c r="B1474" s="9" t="s">
        <v>4940</v>
      </c>
      <c r="C1474" s="9">
        <v>1468.0</v>
      </c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</row>
    <row r="1475">
      <c r="A1475" s="9">
        <v>1474.0</v>
      </c>
      <c r="B1475" s="9" t="s">
        <v>4941</v>
      </c>
      <c r="C1475" s="9">
        <v>1468.0</v>
      </c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</row>
    <row r="1476">
      <c r="A1476" s="9">
        <v>1475.0</v>
      </c>
      <c r="B1476" s="9" t="s">
        <v>4942</v>
      </c>
      <c r="C1476" s="9">
        <v>1468.0</v>
      </c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</row>
    <row r="1477">
      <c r="A1477" s="9">
        <v>1476.0</v>
      </c>
      <c r="B1477" s="9" t="s">
        <v>4943</v>
      </c>
      <c r="C1477" s="9">
        <v>1468.0</v>
      </c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</row>
    <row r="1478">
      <c r="A1478" s="9">
        <v>1477.0</v>
      </c>
      <c r="B1478" s="9" t="s">
        <v>4944</v>
      </c>
      <c r="C1478" s="9">
        <v>1468.0</v>
      </c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</row>
    <row r="1479">
      <c r="A1479" s="9">
        <v>1478.0</v>
      </c>
      <c r="B1479" s="9" t="s">
        <v>4945</v>
      </c>
      <c r="C1479" s="9">
        <v>1468.0</v>
      </c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</row>
    <row r="1480">
      <c r="A1480" s="9">
        <v>1479.0</v>
      </c>
      <c r="B1480" s="9" t="s">
        <v>4946</v>
      </c>
      <c r="C1480" s="9">
        <v>1468.0</v>
      </c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</row>
    <row r="1481">
      <c r="A1481" s="9">
        <v>1480.0</v>
      </c>
      <c r="B1481" s="9" t="s">
        <v>4947</v>
      </c>
      <c r="C1481" s="9">
        <v>1468.0</v>
      </c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</row>
    <row r="1482">
      <c r="A1482" s="9">
        <v>1481.0</v>
      </c>
      <c r="B1482" s="9" t="s">
        <v>4948</v>
      </c>
      <c r="C1482" s="9">
        <v>1468.0</v>
      </c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</row>
    <row r="1483">
      <c r="A1483" s="9">
        <v>1482.0</v>
      </c>
      <c r="B1483" s="9" t="s">
        <v>4949</v>
      </c>
      <c r="C1483" s="9">
        <v>1468.0</v>
      </c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</row>
    <row r="1484">
      <c r="A1484" s="9">
        <v>1483.0</v>
      </c>
      <c r="B1484" s="9" t="s">
        <v>4950</v>
      </c>
      <c r="C1484" s="9">
        <v>1468.0</v>
      </c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</row>
    <row r="1485">
      <c r="A1485" s="9">
        <v>1484.0</v>
      </c>
      <c r="B1485" s="9" t="s">
        <v>4951</v>
      </c>
      <c r="C1485" s="9">
        <v>1468.0</v>
      </c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</row>
    <row r="1486">
      <c r="A1486" s="9">
        <v>1485.0</v>
      </c>
      <c r="B1486" s="9" t="s">
        <v>4952</v>
      </c>
      <c r="C1486" s="9">
        <v>1468.0</v>
      </c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</row>
    <row r="1487">
      <c r="A1487" s="9">
        <v>1486.0</v>
      </c>
      <c r="B1487" s="9" t="s">
        <v>4953</v>
      </c>
      <c r="C1487" s="9">
        <v>1468.0</v>
      </c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</row>
    <row r="1488">
      <c r="A1488" s="9">
        <v>1487.0</v>
      </c>
      <c r="B1488" s="9" t="s">
        <v>4954</v>
      </c>
      <c r="C1488" s="9">
        <v>1468.0</v>
      </c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</row>
    <row r="1489">
      <c r="A1489" s="9">
        <v>1488.0</v>
      </c>
      <c r="B1489" s="9" t="s">
        <v>4955</v>
      </c>
      <c r="C1489" s="9">
        <v>1468.0</v>
      </c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</row>
    <row r="1490">
      <c r="A1490" s="9">
        <v>1489.0</v>
      </c>
      <c r="B1490" s="9" t="s">
        <v>4956</v>
      </c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</row>
    <row r="1491">
      <c r="A1491" s="9">
        <v>1490.0</v>
      </c>
      <c r="B1491" s="9" t="s">
        <v>4957</v>
      </c>
      <c r="C1491" s="9">
        <v>1489.0</v>
      </c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</row>
    <row r="1492">
      <c r="A1492" s="9">
        <v>1491.0</v>
      </c>
      <c r="B1492" s="9" t="s">
        <v>4958</v>
      </c>
      <c r="C1492" s="9">
        <v>1489.0</v>
      </c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</row>
    <row r="1493">
      <c r="A1493" s="9">
        <v>1492.0</v>
      </c>
      <c r="B1493" s="9" t="s">
        <v>4959</v>
      </c>
      <c r="C1493" s="9">
        <v>1489.0</v>
      </c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</row>
    <row r="1494">
      <c r="A1494" s="9">
        <v>1493.0</v>
      </c>
      <c r="B1494" s="9" t="s">
        <v>4960</v>
      </c>
      <c r="C1494" s="9">
        <v>1489.0</v>
      </c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</row>
    <row r="1495">
      <c r="A1495" s="9">
        <v>1494.0</v>
      </c>
      <c r="B1495" s="9" t="s">
        <v>4961</v>
      </c>
      <c r="C1495" s="9">
        <v>1489.0</v>
      </c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</row>
    <row r="1496">
      <c r="A1496" s="9">
        <v>1495.0</v>
      </c>
      <c r="B1496" s="9" t="s">
        <v>4962</v>
      </c>
      <c r="C1496" s="9">
        <v>1489.0</v>
      </c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</row>
    <row r="1497">
      <c r="A1497" s="9">
        <v>1496.0</v>
      </c>
      <c r="B1497" s="9" t="s">
        <v>4963</v>
      </c>
      <c r="C1497" s="9">
        <v>1489.0</v>
      </c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</row>
    <row r="1498">
      <c r="A1498" s="9">
        <v>1497.0</v>
      </c>
      <c r="B1498" s="9" t="s">
        <v>4964</v>
      </c>
      <c r="C1498" s="9">
        <v>1489.0</v>
      </c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</row>
    <row r="1499">
      <c r="A1499" s="9">
        <v>1498.0</v>
      </c>
      <c r="B1499" s="9" t="s">
        <v>4965</v>
      </c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</row>
    <row r="1500">
      <c r="A1500" s="9">
        <v>1499.0</v>
      </c>
      <c r="B1500" s="9" t="s">
        <v>4966</v>
      </c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</row>
    <row r="1501">
      <c r="A1501" s="9">
        <v>1500.0</v>
      </c>
      <c r="B1501" s="9" t="s">
        <v>4967</v>
      </c>
      <c r="C1501" s="9">
        <v>1499.0</v>
      </c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</row>
    <row r="1502">
      <c r="A1502" s="9">
        <v>1501.0</v>
      </c>
      <c r="B1502" s="9" t="s">
        <v>4968</v>
      </c>
      <c r="C1502" s="9">
        <v>1499.0</v>
      </c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</row>
    <row r="1503">
      <c r="A1503" s="9">
        <v>1502.0</v>
      </c>
      <c r="B1503" s="9" t="s">
        <v>4969</v>
      </c>
      <c r="C1503" s="9">
        <v>1499.0</v>
      </c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</row>
    <row r="1504">
      <c r="A1504" s="9">
        <v>1503.0</v>
      </c>
      <c r="B1504" s="9" t="s">
        <v>4970</v>
      </c>
      <c r="C1504" s="9">
        <v>1499.0</v>
      </c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</row>
    <row r="1505">
      <c r="A1505" s="9">
        <v>1504.0</v>
      </c>
      <c r="B1505" s="9" t="s">
        <v>4971</v>
      </c>
      <c r="C1505" s="9">
        <v>1499.0</v>
      </c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</row>
    <row r="1506">
      <c r="A1506" s="9">
        <v>1505.0</v>
      </c>
      <c r="B1506" s="9" t="s">
        <v>4972</v>
      </c>
      <c r="C1506" s="9">
        <v>1499.0</v>
      </c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</row>
    <row r="1507">
      <c r="A1507" s="9">
        <v>1506.0</v>
      </c>
      <c r="B1507" s="9" t="s">
        <v>4973</v>
      </c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</row>
    <row r="1508">
      <c r="A1508" s="9">
        <v>1507.0</v>
      </c>
      <c r="B1508" s="9" t="s">
        <v>4974</v>
      </c>
      <c r="C1508" s="9">
        <v>1506.0</v>
      </c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</row>
    <row r="1509">
      <c r="A1509" s="9">
        <v>1508.0</v>
      </c>
      <c r="B1509" s="9" t="s">
        <v>4975</v>
      </c>
      <c r="C1509" s="9">
        <v>1506.0</v>
      </c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</row>
    <row r="1510">
      <c r="A1510" s="9">
        <v>1509.0</v>
      </c>
      <c r="B1510" s="9" t="s">
        <v>4976</v>
      </c>
      <c r="C1510" s="9">
        <v>1506.0</v>
      </c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</row>
    <row r="1511">
      <c r="A1511" s="9">
        <v>1510.0</v>
      </c>
      <c r="B1511" s="9" t="s">
        <v>4977</v>
      </c>
      <c r="C1511" s="9">
        <v>1506.0</v>
      </c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</row>
    <row r="1512">
      <c r="A1512" s="9">
        <v>1511.0</v>
      </c>
      <c r="B1512" s="9" t="s">
        <v>4978</v>
      </c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</row>
    <row r="1513">
      <c r="A1513" s="9">
        <v>1512.0</v>
      </c>
      <c r="B1513" s="9" t="s">
        <v>4979</v>
      </c>
      <c r="C1513" s="9">
        <v>1511.0</v>
      </c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</row>
    <row r="1514">
      <c r="A1514" s="9">
        <v>1513.0</v>
      </c>
      <c r="B1514" s="9" t="s">
        <v>4980</v>
      </c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</row>
    <row r="1515">
      <c r="A1515" s="9">
        <v>1514.0</v>
      </c>
      <c r="B1515" s="9" t="s">
        <v>4981</v>
      </c>
      <c r="C1515" s="9">
        <v>1513.0</v>
      </c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</row>
    <row r="1516">
      <c r="A1516" s="9">
        <v>1515.0</v>
      </c>
      <c r="B1516" s="9" t="s">
        <v>4982</v>
      </c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</row>
    <row r="1517">
      <c r="A1517" s="9">
        <v>1516.0</v>
      </c>
      <c r="B1517" s="9" t="s">
        <v>4983</v>
      </c>
      <c r="C1517" s="9">
        <v>1515.0</v>
      </c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</row>
    <row r="1518">
      <c r="A1518" s="9">
        <v>1517.0</v>
      </c>
      <c r="B1518" s="9" t="s">
        <v>4984</v>
      </c>
      <c r="C1518" s="9">
        <v>1515.0</v>
      </c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</row>
    <row r="1519">
      <c r="A1519" s="9">
        <v>1518.0</v>
      </c>
      <c r="B1519" s="9" t="s">
        <v>4985</v>
      </c>
      <c r="C1519" s="9">
        <v>1515.0</v>
      </c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</row>
    <row r="1520">
      <c r="A1520" s="9">
        <v>1519.0</v>
      </c>
      <c r="B1520" s="9" t="s">
        <v>4986</v>
      </c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</row>
    <row r="1521">
      <c r="A1521" s="9">
        <v>1520.0</v>
      </c>
      <c r="B1521" s="9" t="s">
        <v>4987</v>
      </c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</row>
    <row r="1522">
      <c r="A1522" s="9">
        <v>1521.0</v>
      </c>
      <c r="B1522" s="9" t="s">
        <v>4988</v>
      </c>
      <c r="C1522" s="9">
        <v>1520.0</v>
      </c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</row>
    <row r="1523">
      <c r="A1523" s="9">
        <v>1522.0</v>
      </c>
      <c r="B1523" s="9" t="s">
        <v>4989</v>
      </c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</row>
    <row r="1524">
      <c r="A1524" s="9">
        <v>1523.0</v>
      </c>
      <c r="B1524" s="9" t="s">
        <v>4990</v>
      </c>
      <c r="C1524" s="9">
        <v>1522.0</v>
      </c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</row>
    <row r="1525">
      <c r="A1525" s="9">
        <v>1524.0</v>
      </c>
      <c r="B1525" s="9" t="s">
        <v>4991</v>
      </c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</row>
    <row r="1526">
      <c r="A1526" s="9">
        <v>1525.0</v>
      </c>
      <c r="B1526" s="9" t="s">
        <v>4992</v>
      </c>
      <c r="C1526" s="9">
        <v>1524.0</v>
      </c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</row>
    <row r="1527">
      <c r="A1527" s="9">
        <v>1526.0</v>
      </c>
      <c r="B1527" s="9" t="s">
        <v>4993</v>
      </c>
      <c r="C1527" s="9">
        <v>1524.0</v>
      </c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</row>
    <row r="1528">
      <c r="A1528" s="9">
        <v>1527.0</v>
      </c>
      <c r="B1528" s="9" t="s">
        <v>4994</v>
      </c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</row>
    <row r="1529">
      <c r="A1529" s="9">
        <v>1528.0</v>
      </c>
      <c r="B1529" s="9" t="s">
        <v>4995</v>
      </c>
      <c r="C1529" s="9">
        <v>1527.0</v>
      </c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</row>
    <row r="1530">
      <c r="A1530" s="9">
        <v>1529.0</v>
      </c>
      <c r="B1530" s="9" t="s">
        <v>4996</v>
      </c>
      <c r="C1530" s="9">
        <v>1527.0</v>
      </c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</row>
    <row r="1531">
      <c r="A1531" s="9">
        <v>1530.0</v>
      </c>
      <c r="B1531" s="9" t="s">
        <v>4997</v>
      </c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</row>
    <row r="1532">
      <c r="A1532" s="9">
        <v>1531.0</v>
      </c>
      <c r="B1532" s="9" t="s">
        <v>4998</v>
      </c>
      <c r="C1532" s="9">
        <v>1530.0</v>
      </c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</row>
    <row r="1533">
      <c r="A1533" s="9">
        <v>1532.0</v>
      </c>
      <c r="B1533" s="9" t="s">
        <v>4999</v>
      </c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</row>
    <row r="1534">
      <c r="A1534" s="9">
        <v>1533.0</v>
      </c>
      <c r="B1534" s="9" t="s">
        <v>5000</v>
      </c>
      <c r="C1534" s="9">
        <v>1532.0</v>
      </c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</row>
    <row r="1535">
      <c r="A1535" s="9">
        <v>1534.0</v>
      </c>
      <c r="B1535" s="9" t="s">
        <v>5001</v>
      </c>
      <c r="C1535" s="9">
        <v>1532.0</v>
      </c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</row>
    <row r="1536">
      <c r="A1536" s="9">
        <v>1535.0</v>
      </c>
      <c r="B1536" s="9" t="s">
        <v>5002</v>
      </c>
      <c r="C1536" s="9">
        <v>1532.0</v>
      </c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</row>
    <row r="1537">
      <c r="A1537" s="9">
        <v>1536.0</v>
      </c>
      <c r="B1537" s="9" t="s">
        <v>5003</v>
      </c>
      <c r="C1537" s="9">
        <v>1532.0</v>
      </c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</row>
    <row r="1538">
      <c r="A1538" s="9">
        <v>1537.0</v>
      </c>
      <c r="B1538" s="9" t="s">
        <v>5004</v>
      </c>
      <c r="C1538" s="9">
        <v>1532.0</v>
      </c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</row>
    <row r="1539">
      <c r="A1539" s="9">
        <v>1538.0</v>
      </c>
      <c r="B1539" s="9" t="s">
        <v>5005</v>
      </c>
      <c r="C1539" s="9">
        <v>1532.0</v>
      </c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</row>
    <row r="1540">
      <c r="A1540" s="9">
        <v>1539.0</v>
      </c>
      <c r="B1540" s="9" t="s">
        <v>5006</v>
      </c>
      <c r="C1540" s="9">
        <v>1532.0</v>
      </c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</row>
    <row r="1541">
      <c r="A1541" s="9">
        <v>1540.0</v>
      </c>
      <c r="B1541" s="9" t="s">
        <v>5007</v>
      </c>
      <c r="C1541" s="9">
        <v>1532.0</v>
      </c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</row>
    <row r="1542">
      <c r="A1542" s="9">
        <v>1541.0</v>
      </c>
      <c r="B1542" s="9" t="s">
        <v>5008</v>
      </c>
      <c r="C1542" s="9">
        <v>1532.0</v>
      </c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</row>
    <row r="1543">
      <c r="A1543" s="9">
        <v>1542.0</v>
      </c>
      <c r="B1543" s="9" t="s">
        <v>5009</v>
      </c>
      <c r="C1543" s="9">
        <v>1532.0</v>
      </c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</row>
    <row r="1544">
      <c r="A1544" s="9">
        <v>1543.0</v>
      </c>
      <c r="B1544" s="9" t="s">
        <v>5010</v>
      </c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</row>
    <row r="1545">
      <c r="A1545" s="9">
        <v>1544.0</v>
      </c>
      <c r="B1545" s="9" t="s">
        <v>5011</v>
      </c>
      <c r="C1545" s="9">
        <v>1543.0</v>
      </c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</row>
    <row r="1546">
      <c r="A1546" s="9">
        <v>1545.0</v>
      </c>
      <c r="B1546" s="9" t="s">
        <v>5012</v>
      </c>
      <c r="C1546" s="9">
        <v>1543.0</v>
      </c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</row>
    <row r="1547">
      <c r="A1547" s="9">
        <v>1546.0</v>
      </c>
      <c r="B1547" s="9" t="s">
        <v>5013</v>
      </c>
      <c r="C1547" s="9">
        <v>1543.0</v>
      </c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</row>
    <row r="1548">
      <c r="A1548" s="9">
        <v>1547.0</v>
      </c>
      <c r="B1548" s="9" t="s">
        <v>5014</v>
      </c>
      <c r="C1548" s="9">
        <v>1543.0</v>
      </c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</row>
    <row r="1549">
      <c r="A1549" s="9">
        <v>1548.0</v>
      </c>
      <c r="B1549" s="9" t="s">
        <v>5015</v>
      </c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</row>
    <row r="1550">
      <c r="A1550" s="9">
        <v>1549.0</v>
      </c>
      <c r="B1550" s="9" t="s">
        <v>5016</v>
      </c>
      <c r="C1550" s="9">
        <v>1548.0</v>
      </c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</row>
    <row r="1551">
      <c r="A1551" s="9">
        <v>1550.0</v>
      </c>
      <c r="B1551" s="9" t="s">
        <v>5017</v>
      </c>
      <c r="C1551" s="9">
        <v>1548.0</v>
      </c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</row>
    <row r="1552">
      <c r="A1552" s="9">
        <v>1551.0</v>
      </c>
      <c r="B1552" s="9" t="s">
        <v>5018</v>
      </c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</row>
    <row r="1553">
      <c r="A1553" s="9">
        <v>1552.0</v>
      </c>
      <c r="B1553" s="9" t="s">
        <v>5019</v>
      </c>
      <c r="C1553" s="9">
        <v>1551.0</v>
      </c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</row>
    <row r="1554">
      <c r="A1554" s="9">
        <v>1553.0</v>
      </c>
      <c r="B1554" s="9" t="s">
        <v>5020</v>
      </c>
      <c r="C1554" s="9">
        <v>1551.0</v>
      </c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</row>
    <row r="1555">
      <c r="A1555" s="9">
        <v>1554.0</v>
      </c>
      <c r="B1555" s="9" t="s">
        <v>5021</v>
      </c>
      <c r="C1555" s="9">
        <v>1551.0</v>
      </c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</row>
    <row r="1556">
      <c r="A1556" s="9">
        <v>1555.0</v>
      </c>
      <c r="B1556" s="9" t="s">
        <v>5022</v>
      </c>
      <c r="C1556" s="9">
        <v>1551.0</v>
      </c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</row>
    <row r="1557">
      <c r="A1557" s="9">
        <v>1556.0</v>
      </c>
      <c r="B1557" s="9" t="s">
        <v>5023</v>
      </c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</row>
    <row r="1558">
      <c r="A1558" s="9">
        <v>1557.0</v>
      </c>
      <c r="B1558" s="9" t="s">
        <v>5024</v>
      </c>
      <c r="C1558" s="9">
        <v>1556.0</v>
      </c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</row>
    <row r="1559">
      <c r="A1559" s="9">
        <v>1558.0</v>
      </c>
      <c r="B1559" s="9" t="s">
        <v>5025</v>
      </c>
      <c r="C1559" s="9">
        <v>1556.0</v>
      </c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</row>
    <row r="1560">
      <c r="A1560" s="9">
        <v>1559.0</v>
      </c>
      <c r="B1560" s="9" t="s">
        <v>5026</v>
      </c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</row>
    <row r="1561">
      <c r="A1561" s="9">
        <v>1560.0</v>
      </c>
      <c r="B1561" s="9" t="s">
        <v>5027</v>
      </c>
      <c r="C1561" s="9">
        <v>1559.0</v>
      </c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</row>
    <row r="1562">
      <c r="A1562" s="9">
        <v>1561.0</v>
      </c>
      <c r="B1562" s="9" t="s">
        <v>5028</v>
      </c>
      <c r="C1562" s="9">
        <v>1559.0</v>
      </c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</row>
    <row r="1563">
      <c r="A1563" s="9">
        <v>1562.0</v>
      </c>
      <c r="B1563" s="9" t="s">
        <v>5029</v>
      </c>
      <c r="C1563" s="9">
        <v>1559.0</v>
      </c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</row>
    <row r="1564">
      <c r="A1564" s="9">
        <v>1563.0</v>
      </c>
      <c r="B1564" s="9" t="s">
        <v>5030</v>
      </c>
      <c r="C1564" s="9">
        <v>1559.0</v>
      </c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</row>
    <row r="1565">
      <c r="A1565" s="9">
        <v>1564.0</v>
      </c>
      <c r="B1565" s="9" t="s">
        <v>5031</v>
      </c>
      <c r="C1565" s="9">
        <v>1559.0</v>
      </c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</row>
    <row r="1566">
      <c r="A1566" s="9">
        <v>1565.0</v>
      </c>
      <c r="B1566" s="9" t="s">
        <v>5032</v>
      </c>
      <c r="C1566" s="9">
        <v>1559.0</v>
      </c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</row>
    <row r="1567">
      <c r="A1567" s="9">
        <v>1566.0</v>
      </c>
      <c r="B1567" s="9" t="s">
        <v>5033</v>
      </c>
      <c r="C1567" s="9">
        <v>1559.0</v>
      </c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</row>
    <row r="1568">
      <c r="A1568" s="9">
        <v>1567.0</v>
      </c>
      <c r="B1568" s="9" t="s">
        <v>5034</v>
      </c>
      <c r="C1568" s="9">
        <v>1559.0</v>
      </c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</row>
    <row r="1569">
      <c r="A1569" s="9">
        <v>1568.0</v>
      </c>
      <c r="B1569" s="9" t="s">
        <v>5035</v>
      </c>
      <c r="C1569" s="9">
        <v>1559.0</v>
      </c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</row>
    <row r="1570">
      <c r="A1570" s="9">
        <v>1569.0</v>
      </c>
      <c r="B1570" s="9" t="s">
        <v>5036</v>
      </c>
      <c r="C1570" s="9">
        <v>1559.0</v>
      </c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</row>
    <row r="1571">
      <c r="A1571" s="9">
        <v>1570.0</v>
      </c>
      <c r="B1571" s="9" t="s">
        <v>5037</v>
      </c>
      <c r="C1571" s="9">
        <v>1559.0</v>
      </c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</row>
    <row r="1572">
      <c r="A1572" s="9">
        <v>1571.0</v>
      </c>
      <c r="B1572" s="9" t="s">
        <v>5038</v>
      </c>
      <c r="C1572" s="9">
        <v>1559.0</v>
      </c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</row>
    <row r="1573">
      <c r="A1573" s="9">
        <v>1572.0</v>
      </c>
      <c r="B1573" s="9" t="s">
        <v>5039</v>
      </c>
      <c r="C1573" s="9">
        <v>1559.0</v>
      </c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</row>
    <row r="1574">
      <c r="A1574" s="9">
        <v>1573.0</v>
      </c>
      <c r="B1574" s="9" t="s">
        <v>5040</v>
      </c>
      <c r="C1574" s="9">
        <v>1559.0</v>
      </c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</row>
    <row r="1575">
      <c r="A1575" s="9">
        <v>1574.0</v>
      </c>
      <c r="B1575" s="9" t="s">
        <v>5041</v>
      </c>
      <c r="C1575" s="9">
        <v>1559.0</v>
      </c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</row>
    <row r="1576">
      <c r="A1576" s="9">
        <v>1575.0</v>
      </c>
      <c r="B1576" s="9" t="s">
        <v>5042</v>
      </c>
      <c r="C1576" s="9">
        <v>1559.0</v>
      </c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</row>
    <row r="1577">
      <c r="A1577" s="9">
        <v>1576.0</v>
      </c>
      <c r="B1577" s="9" t="s">
        <v>5043</v>
      </c>
      <c r="C1577" s="9">
        <v>1559.0</v>
      </c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</row>
    <row r="1578">
      <c r="A1578" s="9">
        <v>1577.0</v>
      </c>
      <c r="B1578" s="9" t="s">
        <v>5044</v>
      </c>
      <c r="C1578" s="9">
        <v>1559.0</v>
      </c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</row>
    <row r="1579">
      <c r="A1579" s="9">
        <v>1578.0</v>
      </c>
      <c r="B1579" s="9" t="s">
        <v>5045</v>
      </c>
      <c r="C1579" s="9">
        <v>1559.0</v>
      </c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</row>
    <row r="1580">
      <c r="A1580" s="9">
        <v>1579.0</v>
      </c>
      <c r="B1580" s="9" t="s">
        <v>5046</v>
      </c>
      <c r="C1580" s="9">
        <v>1559.0</v>
      </c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</row>
    <row r="1581">
      <c r="A1581" s="9">
        <v>1580.0</v>
      </c>
      <c r="B1581" s="9" t="s">
        <v>5047</v>
      </c>
      <c r="C1581" s="9">
        <v>1559.0</v>
      </c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</row>
    <row r="1582">
      <c r="A1582" s="9">
        <v>1581.0</v>
      </c>
      <c r="B1582" s="9" t="s">
        <v>5048</v>
      </c>
      <c r="C1582" s="9">
        <v>1559.0</v>
      </c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</row>
    <row r="1583">
      <c r="A1583" s="9">
        <v>1582.0</v>
      </c>
      <c r="B1583" s="9" t="s">
        <v>5049</v>
      </c>
      <c r="C1583" s="9">
        <v>1559.0</v>
      </c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</row>
    <row r="1584">
      <c r="A1584" s="9">
        <v>1583.0</v>
      </c>
      <c r="B1584" s="9" t="s">
        <v>5050</v>
      </c>
      <c r="C1584" s="9">
        <v>1559.0</v>
      </c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</row>
    <row r="1585">
      <c r="A1585" s="9">
        <v>1584.0</v>
      </c>
      <c r="B1585" s="9" t="s">
        <v>5051</v>
      </c>
      <c r="C1585" s="9">
        <v>1559.0</v>
      </c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</row>
    <row r="1586">
      <c r="A1586" s="9">
        <v>1585.0</v>
      </c>
      <c r="B1586" s="9" t="s">
        <v>5052</v>
      </c>
      <c r="C1586" s="9">
        <v>1559.0</v>
      </c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</row>
    <row r="1587">
      <c r="A1587" s="9">
        <v>1586.0</v>
      </c>
      <c r="B1587" s="9" t="s">
        <v>5053</v>
      </c>
      <c r="C1587" s="9">
        <v>1559.0</v>
      </c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</row>
    <row r="1588">
      <c r="A1588" s="9">
        <v>1587.0</v>
      </c>
      <c r="B1588" s="9" t="s">
        <v>5054</v>
      </c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</row>
    <row r="1589">
      <c r="A1589" s="9">
        <v>1588.0</v>
      </c>
      <c r="B1589" s="9" t="s">
        <v>5055</v>
      </c>
      <c r="C1589" s="9">
        <v>1587.0</v>
      </c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</row>
    <row r="1590">
      <c r="A1590" s="9">
        <v>1589.0</v>
      </c>
      <c r="B1590" s="9" t="s">
        <v>5056</v>
      </c>
      <c r="C1590" s="9">
        <v>1587.0</v>
      </c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</row>
    <row r="1591">
      <c r="A1591" s="9">
        <v>1590.0</v>
      </c>
      <c r="B1591" s="9" t="s">
        <v>5057</v>
      </c>
      <c r="C1591" s="9">
        <v>1587.0</v>
      </c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</row>
    <row r="1592">
      <c r="A1592" s="9">
        <v>1591.0</v>
      </c>
      <c r="B1592" s="9" t="s">
        <v>5058</v>
      </c>
      <c r="C1592" s="9">
        <v>1587.0</v>
      </c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</row>
    <row r="1593">
      <c r="A1593" s="9">
        <v>1592.0</v>
      </c>
      <c r="B1593" s="9" t="s">
        <v>5059</v>
      </c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</row>
    <row r="1594">
      <c r="A1594" s="9">
        <v>1593.0</v>
      </c>
      <c r="B1594" s="9" t="s">
        <v>5060</v>
      </c>
      <c r="C1594" s="9">
        <v>1592.0</v>
      </c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</row>
    <row r="1595">
      <c r="A1595" s="9">
        <v>1594.0</v>
      </c>
      <c r="B1595" s="9" t="s">
        <v>5061</v>
      </c>
      <c r="C1595" s="9">
        <v>1592.0</v>
      </c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</row>
    <row r="1596">
      <c r="A1596" s="9">
        <v>1595.0</v>
      </c>
      <c r="B1596" s="9" t="s">
        <v>5062</v>
      </c>
      <c r="C1596" s="9">
        <v>1592.0</v>
      </c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</row>
    <row r="1597">
      <c r="A1597" s="9">
        <v>1596.0</v>
      </c>
      <c r="B1597" s="9" t="s">
        <v>5063</v>
      </c>
      <c r="C1597" s="9">
        <v>1592.0</v>
      </c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</row>
    <row r="1598">
      <c r="A1598" s="9">
        <v>1597.0</v>
      </c>
      <c r="B1598" s="9" t="s">
        <v>5064</v>
      </c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</row>
    <row r="1599">
      <c r="A1599" s="9">
        <v>1598.0</v>
      </c>
      <c r="B1599" s="9" t="s">
        <v>5065</v>
      </c>
      <c r="C1599" s="9">
        <v>1597.0</v>
      </c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</row>
    <row r="1600">
      <c r="A1600" s="9">
        <v>1599.0</v>
      </c>
      <c r="B1600" s="9" t="s">
        <v>5066</v>
      </c>
      <c r="C1600" s="9">
        <v>1597.0</v>
      </c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</row>
    <row r="1601">
      <c r="A1601" s="9">
        <v>1600.0</v>
      </c>
      <c r="B1601" s="9" t="s">
        <v>5067</v>
      </c>
      <c r="C1601" s="9">
        <v>1597.0</v>
      </c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</row>
    <row r="1602">
      <c r="A1602" s="9">
        <v>1601.0</v>
      </c>
      <c r="B1602" s="9" t="s">
        <v>5068</v>
      </c>
      <c r="C1602" s="9">
        <v>1597.0</v>
      </c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</row>
    <row r="1603">
      <c r="A1603" s="9">
        <v>1602.0</v>
      </c>
      <c r="B1603" s="9" t="s">
        <v>5069</v>
      </c>
      <c r="C1603" s="9">
        <v>1597.0</v>
      </c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</row>
    <row r="1604">
      <c r="A1604" s="9">
        <v>1603.0</v>
      </c>
      <c r="B1604" s="9" t="s">
        <v>5070</v>
      </c>
      <c r="C1604" s="9">
        <v>1597.0</v>
      </c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</row>
    <row r="1605">
      <c r="A1605" s="9">
        <v>1604.0</v>
      </c>
      <c r="B1605" s="9" t="s">
        <v>5071</v>
      </c>
      <c r="C1605" s="9">
        <v>1597.0</v>
      </c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</row>
    <row r="1606">
      <c r="A1606" s="9">
        <v>1605.0</v>
      </c>
      <c r="B1606" s="9" t="s">
        <v>5072</v>
      </c>
      <c r="C1606" s="9">
        <v>1597.0</v>
      </c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</row>
    <row r="1607">
      <c r="A1607" s="9">
        <v>1606.0</v>
      </c>
      <c r="B1607" s="9" t="s">
        <v>5073</v>
      </c>
      <c r="C1607" s="9">
        <v>1597.0</v>
      </c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</row>
    <row r="1608">
      <c r="A1608" s="9">
        <v>1607.0</v>
      </c>
      <c r="B1608" s="9" t="s">
        <v>5074</v>
      </c>
      <c r="C1608" s="9">
        <v>1597.0</v>
      </c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</row>
    <row r="1609">
      <c r="A1609" s="9">
        <v>1608.0</v>
      </c>
      <c r="B1609" s="9" t="s">
        <v>5075</v>
      </c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</row>
    <row r="1610">
      <c r="A1610" s="9">
        <v>1609.0</v>
      </c>
      <c r="B1610" s="9" t="s">
        <v>5076</v>
      </c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</row>
    <row r="1611">
      <c r="A1611" s="9">
        <v>1610.0</v>
      </c>
      <c r="B1611" s="9" t="s">
        <v>5077</v>
      </c>
      <c r="C1611" s="9">
        <v>1609.0</v>
      </c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</row>
    <row r="1612">
      <c r="A1612" s="9">
        <v>1611.0</v>
      </c>
      <c r="B1612" s="9" t="s">
        <v>5078</v>
      </c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</row>
    <row r="1613">
      <c r="A1613" s="9">
        <v>1612.0</v>
      </c>
      <c r="B1613" s="9" t="s">
        <v>5079</v>
      </c>
      <c r="C1613" s="9">
        <v>1611.0</v>
      </c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</row>
    <row r="1614">
      <c r="A1614" s="9">
        <v>1613.0</v>
      </c>
      <c r="B1614" s="9" t="s">
        <v>5080</v>
      </c>
      <c r="C1614" s="9">
        <v>1611.0</v>
      </c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</row>
    <row r="1615">
      <c r="A1615" s="9">
        <v>1614.0</v>
      </c>
      <c r="B1615" s="9" t="s">
        <v>5081</v>
      </c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</row>
    <row r="1616">
      <c r="A1616" s="9">
        <v>1615.0</v>
      </c>
      <c r="B1616" s="9" t="s">
        <v>5082</v>
      </c>
      <c r="C1616" s="9">
        <v>1614.0</v>
      </c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</row>
    <row r="1617">
      <c r="A1617" s="9">
        <v>1616.0</v>
      </c>
      <c r="B1617" s="9" t="s">
        <v>5083</v>
      </c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</row>
    <row r="1618">
      <c r="A1618" s="9">
        <v>1617.0</v>
      </c>
      <c r="B1618" s="9" t="s">
        <v>5084</v>
      </c>
      <c r="C1618" s="9">
        <v>1616.0</v>
      </c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</row>
    <row r="1619">
      <c r="A1619" s="9">
        <v>1618.0</v>
      </c>
      <c r="B1619" s="9" t="s">
        <v>5085</v>
      </c>
      <c r="C1619" s="9">
        <v>1616.0</v>
      </c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</row>
    <row r="1620">
      <c r="A1620" s="9">
        <v>1619.0</v>
      </c>
      <c r="B1620" s="9" t="s">
        <v>5086</v>
      </c>
      <c r="C1620" s="9">
        <v>1616.0</v>
      </c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</row>
    <row r="1621">
      <c r="A1621" s="9">
        <v>1620.0</v>
      </c>
      <c r="B1621" s="9" t="s">
        <v>5087</v>
      </c>
      <c r="C1621" s="9">
        <v>1616.0</v>
      </c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</row>
    <row r="1622">
      <c r="A1622" s="9">
        <v>1621.0</v>
      </c>
      <c r="B1622" s="9" t="s">
        <v>5088</v>
      </c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</row>
    <row r="1623">
      <c r="A1623" s="9">
        <v>1622.0</v>
      </c>
      <c r="B1623" s="9" t="s">
        <v>5089</v>
      </c>
      <c r="C1623" s="9">
        <v>1621.0</v>
      </c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</row>
    <row r="1624">
      <c r="A1624" s="9">
        <v>1623.0</v>
      </c>
      <c r="B1624" s="9" t="s">
        <v>5090</v>
      </c>
      <c r="C1624" s="9">
        <v>1621.0</v>
      </c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</row>
    <row r="1625">
      <c r="A1625" s="9">
        <v>1624.0</v>
      </c>
      <c r="B1625" s="9" t="s">
        <v>5091</v>
      </c>
      <c r="C1625" s="9">
        <v>1621.0</v>
      </c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</row>
    <row r="1626">
      <c r="A1626" s="9">
        <v>1625.0</v>
      </c>
      <c r="B1626" s="9" t="s">
        <v>5092</v>
      </c>
      <c r="C1626" s="9">
        <v>1621.0</v>
      </c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</row>
    <row r="1627">
      <c r="A1627" s="9">
        <v>1626.0</v>
      </c>
      <c r="B1627" s="9" t="s">
        <v>5093</v>
      </c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</row>
    <row r="1628">
      <c r="A1628" s="9">
        <v>1627.0</v>
      </c>
      <c r="B1628" s="9" t="s">
        <v>5094</v>
      </c>
      <c r="C1628" s="9">
        <v>1626.0</v>
      </c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</row>
    <row r="1629">
      <c r="A1629" s="9">
        <v>1628.0</v>
      </c>
      <c r="B1629" s="9" t="s">
        <v>5095</v>
      </c>
      <c r="C1629" s="9">
        <v>1626.0</v>
      </c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</row>
    <row r="1630">
      <c r="A1630" s="9">
        <v>1629.0</v>
      </c>
      <c r="B1630" s="9" t="s">
        <v>5096</v>
      </c>
      <c r="C1630" s="9">
        <v>1626.0</v>
      </c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</row>
    <row r="1631">
      <c r="A1631" s="9">
        <v>1630.0</v>
      </c>
      <c r="B1631" s="9" t="s">
        <v>5097</v>
      </c>
      <c r="C1631" s="9">
        <v>1626.0</v>
      </c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</row>
    <row r="1632">
      <c r="A1632" s="9">
        <v>1631.0</v>
      </c>
      <c r="B1632" s="9" t="s">
        <v>5098</v>
      </c>
      <c r="C1632" s="9">
        <v>1626.0</v>
      </c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</row>
    <row r="1633">
      <c r="A1633" s="9">
        <v>1632.0</v>
      </c>
      <c r="B1633" s="9" t="s">
        <v>5099</v>
      </c>
      <c r="C1633" s="9">
        <v>1626.0</v>
      </c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</row>
    <row r="1634">
      <c r="A1634" s="9">
        <v>1633.0</v>
      </c>
      <c r="B1634" s="9" t="s">
        <v>5100</v>
      </c>
      <c r="C1634" s="9">
        <v>1626.0</v>
      </c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</row>
    <row r="1635">
      <c r="A1635" s="9">
        <v>1634.0</v>
      </c>
      <c r="B1635" s="9" t="s">
        <v>5101</v>
      </c>
      <c r="C1635" s="9">
        <v>1626.0</v>
      </c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</row>
    <row r="1636">
      <c r="A1636" s="9">
        <v>1635.0</v>
      </c>
      <c r="B1636" s="9" t="s">
        <v>5102</v>
      </c>
      <c r="C1636" s="9">
        <v>1626.0</v>
      </c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</row>
    <row r="1637">
      <c r="A1637" s="9">
        <v>1636.0</v>
      </c>
      <c r="B1637" s="9" t="s">
        <v>5103</v>
      </c>
      <c r="C1637" s="9">
        <v>1626.0</v>
      </c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</row>
    <row r="1638">
      <c r="A1638" s="9">
        <v>1637.0</v>
      </c>
      <c r="B1638" s="9" t="s">
        <v>5104</v>
      </c>
      <c r="C1638" s="9">
        <v>1626.0</v>
      </c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</row>
    <row r="1639">
      <c r="A1639" s="9">
        <v>1638.0</v>
      </c>
      <c r="B1639" s="9" t="s">
        <v>5105</v>
      </c>
      <c r="C1639" s="9">
        <v>1626.0</v>
      </c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</row>
    <row r="1640">
      <c r="A1640" s="9">
        <v>1639.0</v>
      </c>
      <c r="B1640" s="9" t="s">
        <v>5106</v>
      </c>
      <c r="C1640" s="9">
        <v>1626.0</v>
      </c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</row>
    <row r="1641">
      <c r="A1641" s="9">
        <v>1640.0</v>
      </c>
      <c r="B1641" s="9" t="s">
        <v>5107</v>
      </c>
      <c r="C1641" s="9">
        <v>1626.0</v>
      </c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</row>
    <row r="1642">
      <c r="A1642" s="9">
        <v>1641.0</v>
      </c>
      <c r="B1642" s="9" t="s">
        <v>5108</v>
      </c>
      <c r="C1642" s="9">
        <v>1626.0</v>
      </c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</row>
    <row r="1643">
      <c r="A1643" s="9">
        <v>1642.0</v>
      </c>
      <c r="B1643" s="9" t="s">
        <v>5109</v>
      </c>
      <c r="C1643" s="9">
        <v>1626.0</v>
      </c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</row>
    <row r="1644">
      <c r="A1644" s="9">
        <v>1643.0</v>
      </c>
      <c r="B1644" s="9" t="s">
        <v>5110</v>
      </c>
      <c r="C1644" s="9">
        <v>1626.0</v>
      </c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</row>
    <row r="1645">
      <c r="A1645" s="9">
        <v>1644.0</v>
      </c>
      <c r="B1645" s="9" t="s">
        <v>5111</v>
      </c>
      <c r="C1645" s="9">
        <v>1626.0</v>
      </c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</row>
    <row r="1646">
      <c r="A1646" s="9">
        <v>1645.0</v>
      </c>
      <c r="B1646" s="9" t="s">
        <v>5112</v>
      </c>
      <c r="C1646" s="9">
        <v>1626.0</v>
      </c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</row>
    <row r="1647">
      <c r="A1647" s="9">
        <v>1646.0</v>
      </c>
      <c r="B1647" s="9" t="s">
        <v>5113</v>
      </c>
      <c r="C1647" s="9">
        <v>1626.0</v>
      </c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</row>
    <row r="1648">
      <c r="A1648" s="9">
        <v>1647.0</v>
      </c>
      <c r="B1648" s="9" t="s">
        <v>5114</v>
      </c>
      <c r="C1648" s="9">
        <v>1626.0</v>
      </c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</row>
    <row r="1649">
      <c r="A1649" s="9">
        <v>1648.0</v>
      </c>
      <c r="B1649" s="9" t="s">
        <v>5115</v>
      </c>
      <c r="C1649" s="9">
        <v>1626.0</v>
      </c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</row>
    <row r="1650">
      <c r="A1650" s="9">
        <v>1649.0</v>
      </c>
      <c r="B1650" s="9" t="s">
        <v>5116</v>
      </c>
      <c r="C1650" s="9">
        <v>1626.0</v>
      </c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</row>
    <row r="1651">
      <c r="A1651" s="9">
        <v>1650.0</v>
      </c>
      <c r="B1651" s="9" t="s">
        <v>5117</v>
      </c>
      <c r="C1651" s="9">
        <v>1626.0</v>
      </c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</row>
    <row r="1652">
      <c r="A1652" s="9">
        <v>1651.0</v>
      </c>
      <c r="B1652" s="9" t="s">
        <v>5118</v>
      </c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</row>
    <row r="1653">
      <c r="A1653" s="9">
        <v>1652.0</v>
      </c>
      <c r="B1653" s="9" t="s">
        <v>5119</v>
      </c>
      <c r="C1653" s="9">
        <v>1651.0</v>
      </c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</row>
    <row r="1654">
      <c r="A1654" s="9">
        <v>1653.0</v>
      </c>
      <c r="B1654" s="9" t="s">
        <v>5120</v>
      </c>
      <c r="C1654" s="9">
        <v>1651.0</v>
      </c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</row>
    <row r="1655">
      <c r="A1655" s="9">
        <v>1654.0</v>
      </c>
      <c r="B1655" s="9" t="s">
        <v>5121</v>
      </c>
      <c r="C1655" s="9">
        <v>1651.0</v>
      </c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</row>
    <row r="1656">
      <c r="A1656" s="9">
        <v>1655.0</v>
      </c>
      <c r="B1656" s="9" t="s">
        <v>5122</v>
      </c>
      <c r="C1656" s="9">
        <v>1651.0</v>
      </c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</row>
    <row r="1657">
      <c r="A1657" s="9">
        <v>1656.0</v>
      </c>
      <c r="B1657" s="9" t="s">
        <v>5123</v>
      </c>
      <c r="C1657" s="9">
        <v>1651.0</v>
      </c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</row>
    <row r="1658">
      <c r="A1658" s="9">
        <v>1657.0</v>
      </c>
      <c r="B1658" s="9" t="s">
        <v>5124</v>
      </c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</row>
    <row r="1659">
      <c r="A1659" s="9">
        <v>1658.0</v>
      </c>
      <c r="B1659" s="9" t="s">
        <v>5125</v>
      </c>
      <c r="C1659" s="9">
        <v>1657.0</v>
      </c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</row>
    <row r="1660">
      <c r="A1660" s="9">
        <v>1659.0</v>
      </c>
      <c r="B1660" s="9" t="s">
        <v>5126</v>
      </c>
      <c r="C1660" s="9">
        <v>1657.0</v>
      </c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</row>
    <row r="1661">
      <c r="A1661" s="9">
        <v>1660.0</v>
      </c>
      <c r="B1661" s="9" t="s">
        <v>5127</v>
      </c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</row>
    <row r="1662">
      <c r="A1662" s="9">
        <v>1661.0</v>
      </c>
      <c r="B1662" s="9" t="s">
        <v>5128</v>
      </c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</row>
    <row r="1663">
      <c r="A1663" s="9">
        <v>1662.0</v>
      </c>
      <c r="B1663" s="9" t="s">
        <v>5129</v>
      </c>
      <c r="C1663" s="9">
        <v>1661.0</v>
      </c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</row>
    <row r="1664">
      <c r="A1664" s="9">
        <v>1663.0</v>
      </c>
      <c r="B1664" s="9" t="s">
        <v>5130</v>
      </c>
      <c r="C1664" s="9">
        <v>1661.0</v>
      </c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</row>
    <row r="1665">
      <c r="A1665" s="9">
        <v>1664.0</v>
      </c>
      <c r="B1665" s="9" t="s">
        <v>5131</v>
      </c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</row>
    <row r="1666">
      <c r="A1666" s="9">
        <v>1665.0</v>
      </c>
      <c r="B1666" s="9" t="s">
        <v>5132</v>
      </c>
      <c r="C1666" s="9">
        <v>1664.0</v>
      </c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</row>
    <row r="1667">
      <c r="A1667" s="9">
        <v>1666.0</v>
      </c>
      <c r="B1667" s="9" t="s">
        <v>5133</v>
      </c>
      <c r="C1667" s="9">
        <v>1664.0</v>
      </c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</row>
    <row r="1668">
      <c r="A1668" s="9">
        <v>1667.0</v>
      </c>
      <c r="B1668" s="9" t="s">
        <v>5134</v>
      </c>
      <c r="C1668" s="9">
        <v>1664.0</v>
      </c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</row>
    <row r="1669">
      <c r="A1669" s="9">
        <v>1668.0</v>
      </c>
      <c r="B1669" s="9" t="s">
        <v>5135</v>
      </c>
      <c r="C1669" s="9">
        <v>1664.0</v>
      </c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</row>
    <row r="1670">
      <c r="A1670" s="9">
        <v>1669.0</v>
      </c>
      <c r="B1670" s="9" t="s">
        <v>5136</v>
      </c>
      <c r="C1670" s="9">
        <v>1664.0</v>
      </c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</row>
    <row r="1671">
      <c r="A1671" s="9">
        <v>1670.0</v>
      </c>
      <c r="B1671" s="9" t="s">
        <v>5137</v>
      </c>
      <c r="C1671" s="9">
        <v>1664.0</v>
      </c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</row>
    <row r="1672">
      <c r="A1672" s="9">
        <v>1671.0</v>
      </c>
      <c r="B1672" s="9" t="s">
        <v>5138</v>
      </c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</row>
    <row r="1673">
      <c r="A1673" s="9">
        <v>1672.0</v>
      </c>
      <c r="B1673" s="9" t="s">
        <v>5139</v>
      </c>
      <c r="C1673" s="9">
        <v>1671.0</v>
      </c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</row>
    <row r="1674">
      <c r="A1674" s="9">
        <v>1673.0</v>
      </c>
      <c r="B1674" s="9" t="s">
        <v>5140</v>
      </c>
      <c r="C1674" s="9">
        <v>1671.0</v>
      </c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</row>
    <row r="1675">
      <c r="A1675" s="9">
        <v>1674.0</v>
      </c>
      <c r="B1675" s="9" t="s">
        <v>5141</v>
      </c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</row>
    <row r="1676">
      <c r="A1676" s="9">
        <v>1675.0</v>
      </c>
      <c r="B1676" s="9" t="s">
        <v>5142</v>
      </c>
      <c r="C1676" s="9">
        <v>1674.0</v>
      </c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</row>
    <row r="1677">
      <c r="A1677" s="9">
        <v>1676.0</v>
      </c>
      <c r="B1677" s="9" t="s">
        <v>5143</v>
      </c>
      <c r="C1677" s="9">
        <v>1674.0</v>
      </c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</row>
    <row r="1678">
      <c r="A1678" s="9">
        <v>1677.0</v>
      </c>
      <c r="B1678" s="9" t="s">
        <v>5144</v>
      </c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</row>
    <row r="1679">
      <c r="A1679" s="9">
        <v>1678.0</v>
      </c>
      <c r="B1679" s="9" t="s">
        <v>5145</v>
      </c>
      <c r="C1679" s="9">
        <v>1677.0</v>
      </c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</row>
    <row r="1680">
      <c r="A1680" s="9">
        <v>1679.0</v>
      </c>
      <c r="B1680" s="9" t="s">
        <v>5146</v>
      </c>
      <c r="C1680" s="9">
        <v>1677.0</v>
      </c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</row>
    <row r="1681">
      <c r="A1681" s="9">
        <v>1680.0</v>
      </c>
      <c r="B1681" s="9" t="s">
        <v>5147</v>
      </c>
      <c r="C1681" s="9">
        <v>1677.0</v>
      </c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</row>
    <row r="1682">
      <c r="A1682" s="9">
        <v>1681.0</v>
      </c>
      <c r="B1682" s="9" t="s">
        <v>5148</v>
      </c>
      <c r="C1682" s="9">
        <v>1677.0</v>
      </c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</row>
    <row r="1683">
      <c r="A1683" s="9">
        <v>1682.0</v>
      </c>
      <c r="B1683" s="9" t="s">
        <v>5149</v>
      </c>
      <c r="C1683" s="9">
        <v>1677.0</v>
      </c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</row>
    <row r="1684">
      <c r="A1684" s="9">
        <v>1683.0</v>
      </c>
      <c r="B1684" s="9" t="s">
        <v>5150</v>
      </c>
      <c r="C1684" s="9">
        <v>1677.0</v>
      </c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</row>
    <row r="1685">
      <c r="A1685" s="9">
        <v>1684.0</v>
      </c>
      <c r="B1685" s="9" t="s">
        <v>5151</v>
      </c>
      <c r="C1685" s="9">
        <v>1677.0</v>
      </c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</row>
    <row r="1686">
      <c r="A1686" s="9">
        <v>1685.0</v>
      </c>
      <c r="B1686" s="9" t="s">
        <v>5152</v>
      </c>
      <c r="C1686" s="9">
        <v>1677.0</v>
      </c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</row>
    <row r="1687">
      <c r="A1687" s="9">
        <v>1686.0</v>
      </c>
      <c r="B1687" s="9" t="s">
        <v>5153</v>
      </c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</row>
    <row r="1688">
      <c r="A1688" s="9">
        <v>1687.0</v>
      </c>
      <c r="B1688" s="9" t="s">
        <v>5154</v>
      </c>
      <c r="C1688" s="9">
        <v>1686.0</v>
      </c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</row>
    <row r="1689">
      <c r="A1689" s="9">
        <v>1688.0</v>
      </c>
      <c r="B1689" s="9" t="s">
        <v>5155</v>
      </c>
      <c r="C1689" s="9">
        <v>1686.0</v>
      </c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</row>
    <row r="1690">
      <c r="A1690" s="9">
        <v>1689.0</v>
      </c>
      <c r="B1690" s="9" t="s">
        <v>5156</v>
      </c>
      <c r="C1690" s="9">
        <v>1686.0</v>
      </c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</row>
    <row r="1691">
      <c r="A1691" s="9">
        <v>1690.0</v>
      </c>
      <c r="B1691" s="9" t="s">
        <v>5157</v>
      </c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</row>
    <row r="1692">
      <c r="A1692" s="9">
        <v>1691.0</v>
      </c>
      <c r="B1692" s="9" t="s">
        <v>5158</v>
      </c>
      <c r="C1692" s="9">
        <v>1690.0</v>
      </c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</row>
    <row r="1693">
      <c r="A1693" s="9">
        <v>1692.0</v>
      </c>
      <c r="B1693" s="9" t="s">
        <v>5159</v>
      </c>
      <c r="C1693" s="9">
        <v>1690.0</v>
      </c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</row>
    <row r="1694">
      <c r="A1694" s="9">
        <v>1693.0</v>
      </c>
      <c r="B1694" s="9" t="s">
        <v>5160</v>
      </c>
      <c r="C1694" s="9">
        <v>1690.0</v>
      </c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</row>
    <row r="1695">
      <c r="A1695" s="9">
        <v>1694.0</v>
      </c>
      <c r="B1695" s="9" t="s">
        <v>5161</v>
      </c>
      <c r="C1695" s="9">
        <v>1690.0</v>
      </c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</row>
    <row r="1696">
      <c r="A1696" s="9">
        <v>1695.0</v>
      </c>
      <c r="B1696" s="9" t="s">
        <v>5162</v>
      </c>
      <c r="C1696" s="9">
        <v>1690.0</v>
      </c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</row>
    <row r="1697">
      <c r="A1697" s="9">
        <v>1696.0</v>
      </c>
      <c r="B1697" s="9" t="s">
        <v>5163</v>
      </c>
      <c r="C1697" s="9">
        <v>1690.0</v>
      </c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</row>
    <row r="1698">
      <c r="A1698" s="9">
        <v>1697.0</v>
      </c>
      <c r="B1698" s="9" t="s">
        <v>5164</v>
      </c>
      <c r="C1698" s="9">
        <v>1690.0</v>
      </c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</row>
    <row r="1699">
      <c r="A1699" s="9">
        <v>1698.0</v>
      </c>
      <c r="B1699" s="9" t="s">
        <v>5165</v>
      </c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</row>
    <row r="1700">
      <c r="A1700" s="9">
        <v>1699.0</v>
      </c>
      <c r="B1700" s="9" t="s">
        <v>5166</v>
      </c>
      <c r="C1700" s="9">
        <v>1698.0</v>
      </c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</row>
    <row r="1701">
      <c r="A1701" s="9">
        <v>1700.0</v>
      </c>
      <c r="B1701" s="9" t="s">
        <v>5167</v>
      </c>
      <c r="C1701" s="9">
        <v>1698.0</v>
      </c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</row>
    <row r="1702">
      <c r="A1702" s="9">
        <v>1701.0</v>
      </c>
      <c r="B1702" s="9" t="s">
        <v>5168</v>
      </c>
      <c r="C1702" s="9">
        <v>1698.0</v>
      </c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</row>
    <row r="1703">
      <c r="A1703" s="9">
        <v>1702.0</v>
      </c>
      <c r="B1703" s="9" t="s">
        <v>5169</v>
      </c>
      <c r="C1703" s="9">
        <v>1698.0</v>
      </c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</row>
    <row r="1704">
      <c r="A1704" s="9">
        <v>1703.0</v>
      </c>
      <c r="B1704" s="9" t="s">
        <v>5170</v>
      </c>
      <c r="C1704" s="9">
        <v>1698.0</v>
      </c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</row>
    <row r="1705">
      <c r="A1705" s="9">
        <v>1704.0</v>
      </c>
      <c r="B1705" s="9" t="s">
        <v>5171</v>
      </c>
      <c r="C1705" s="9">
        <v>1698.0</v>
      </c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</row>
    <row r="1706">
      <c r="A1706" s="9">
        <v>1705.0</v>
      </c>
      <c r="B1706" s="9" t="s">
        <v>5172</v>
      </c>
      <c r="C1706" s="9">
        <v>1698.0</v>
      </c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</row>
    <row r="1707">
      <c r="A1707" s="9">
        <v>1706.0</v>
      </c>
      <c r="B1707" s="9" t="s">
        <v>5173</v>
      </c>
      <c r="C1707" s="9">
        <v>1698.0</v>
      </c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</row>
    <row r="1708">
      <c r="A1708" s="9">
        <v>1707.0</v>
      </c>
      <c r="B1708" s="9" t="s">
        <v>5174</v>
      </c>
      <c r="C1708" s="9">
        <v>1698.0</v>
      </c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</row>
    <row r="1709">
      <c r="A1709" s="9">
        <v>1708.0</v>
      </c>
      <c r="B1709" s="9" t="s">
        <v>5175</v>
      </c>
      <c r="C1709" s="9">
        <v>1698.0</v>
      </c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</row>
    <row r="1710">
      <c r="A1710" s="9">
        <v>1709.0</v>
      </c>
      <c r="B1710" s="9" t="s">
        <v>5176</v>
      </c>
      <c r="C1710" s="9">
        <v>1698.0</v>
      </c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</row>
    <row r="1711">
      <c r="A1711" s="9">
        <v>1710.0</v>
      </c>
      <c r="B1711" s="9" t="s">
        <v>5177</v>
      </c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</row>
    <row r="1712">
      <c r="A1712" s="9">
        <v>1711.0</v>
      </c>
      <c r="B1712" s="9" t="s">
        <v>5178</v>
      </c>
      <c r="C1712" s="9">
        <v>1710.0</v>
      </c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</row>
    <row r="1713">
      <c r="A1713" s="9">
        <v>1712.0</v>
      </c>
      <c r="B1713" s="9" t="s">
        <v>5179</v>
      </c>
      <c r="C1713" s="9">
        <v>1710.0</v>
      </c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</row>
    <row r="1714">
      <c r="A1714" s="9">
        <v>1713.0</v>
      </c>
      <c r="B1714" s="9" t="s">
        <v>5180</v>
      </c>
      <c r="C1714" s="9">
        <v>1710.0</v>
      </c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</row>
    <row r="1715">
      <c r="A1715" s="9">
        <v>1714.0</v>
      </c>
      <c r="B1715" s="9" t="s">
        <v>5181</v>
      </c>
      <c r="C1715" s="9">
        <v>1710.0</v>
      </c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</row>
    <row r="1716">
      <c r="A1716" s="9">
        <v>1715.0</v>
      </c>
      <c r="B1716" s="9" t="s">
        <v>5182</v>
      </c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</row>
    <row r="1717">
      <c r="A1717" s="9">
        <v>1716.0</v>
      </c>
      <c r="B1717" s="9" t="s">
        <v>5183</v>
      </c>
      <c r="C1717" s="9">
        <v>1715.0</v>
      </c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</row>
    <row r="1718">
      <c r="A1718" s="9">
        <v>1717.0</v>
      </c>
      <c r="B1718" s="9" t="s">
        <v>5184</v>
      </c>
      <c r="C1718" s="9">
        <v>1715.0</v>
      </c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</row>
    <row r="1719">
      <c r="A1719" s="9">
        <v>1718.0</v>
      </c>
      <c r="B1719" s="9" t="s">
        <v>5185</v>
      </c>
      <c r="C1719" s="9">
        <v>1715.0</v>
      </c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</row>
    <row r="1720">
      <c r="A1720" s="9">
        <v>1719.0</v>
      </c>
      <c r="B1720" s="9" t="s">
        <v>5186</v>
      </c>
      <c r="C1720" s="9">
        <v>1715.0</v>
      </c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</row>
    <row r="1721">
      <c r="A1721" s="9">
        <v>1720.0</v>
      </c>
      <c r="B1721" s="9" t="s">
        <v>5187</v>
      </c>
      <c r="C1721" s="9">
        <v>1715.0</v>
      </c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</row>
    <row r="1722">
      <c r="A1722" s="9">
        <v>1721.0</v>
      </c>
      <c r="B1722" s="9" t="s">
        <v>5188</v>
      </c>
      <c r="C1722" s="9">
        <v>1715.0</v>
      </c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</row>
    <row r="1723">
      <c r="A1723" s="9">
        <v>1722.0</v>
      </c>
      <c r="B1723" s="9" t="s">
        <v>5189</v>
      </c>
      <c r="C1723" s="9">
        <v>1715.0</v>
      </c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</row>
    <row r="1724">
      <c r="A1724" s="9">
        <v>1723.0</v>
      </c>
      <c r="B1724" s="9" t="s">
        <v>5190</v>
      </c>
      <c r="C1724" s="9">
        <v>1715.0</v>
      </c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</row>
    <row r="1725">
      <c r="A1725" s="9">
        <v>1724.0</v>
      </c>
      <c r="B1725" s="9" t="s">
        <v>5191</v>
      </c>
      <c r="C1725" s="9">
        <v>1715.0</v>
      </c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</row>
    <row r="1726">
      <c r="A1726" s="9">
        <v>1725.0</v>
      </c>
      <c r="B1726" s="9" t="s">
        <v>5192</v>
      </c>
      <c r="C1726" s="9">
        <v>1715.0</v>
      </c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</row>
    <row r="1727">
      <c r="A1727" s="9">
        <v>1726.0</v>
      </c>
      <c r="B1727" s="9" t="s">
        <v>5193</v>
      </c>
      <c r="C1727" s="9">
        <v>1715.0</v>
      </c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</row>
    <row r="1728">
      <c r="A1728" s="9">
        <v>1727.0</v>
      </c>
      <c r="B1728" s="9" t="s">
        <v>5194</v>
      </c>
      <c r="C1728" s="9">
        <v>1715.0</v>
      </c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</row>
    <row r="1729">
      <c r="A1729" s="9">
        <v>1728.0</v>
      </c>
      <c r="B1729" s="9" t="s">
        <v>5195</v>
      </c>
      <c r="C1729" s="9">
        <v>1715.0</v>
      </c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</row>
    <row r="1730">
      <c r="A1730" s="9">
        <v>1729.0</v>
      </c>
      <c r="B1730" s="9" t="s">
        <v>5196</v>
      </c>
      <c r="C1730" s="9">
        <v>1715.0</v>
      </c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</row>
    <row r="1731">
      <c r="A1731" s="9">
        <v>1730.0</v>
      </c>
      <c r="B1731" s="9" t="s">
        <v>5197</v>
      </c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</row>
    <row r="1732">
      <c r="A1732" s="9">
        <v>1731.0</v>
      </c>
      <c r="B1732" s="9" t="s">
        <v>5198</v>
      </c>
      <c r="C1732" s="9">
        <v>1730.0</v>
      </c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</row>
    <row r="1733">
      <c r="A1733" s="9">
        <v>1732.0</v>
      </c>
      <c r="B1733" s="9" t="s">
        <v>5199</v>
      </c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</row>
    <row r="1734">
      <c r="A1734" s="9">
        <v>1733.0</v>
      </c>
      <c r="B1734" s="9" t="s">
        <v>5200</v>
      </c>
      <c r="C1734" s="9">
        <v>1732.0</v>
      </c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</row>
    <row r="1735">
      <c r="A1735" s="9">
        <v>1734.0</v>
      </c>
      <c r="B1735" s="9" t="s">
        <v>5201</v>
      </c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</row>
    <row r="1736">
      <c r="A1736" s="9">
        <v>1735.0</v>
      </c>
      <c r="B1736" s="9" t="s">
        <v>5202</v>
      </c>
      <c r="C1736" s="9">
        <v>1734.0</v>
      </c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</row>
    <row r="1737">
      <c r="A1737" s="9">
        <v>1736.0</v>
      </c>
      <c r="B1737" s="9" t="s">
        <v>5203</v>
      </c>
      <c r="C1737" s="9">
        <v>1734.0</v>
      </c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</row>
    <row r="1738">
      <c r="A1738" s="9">
        <v>1737.0</v>
      </c>
      <c r="B1738" s="9" t="s">
        <v>5204</v>
      </c>
      <c r="C1738" s="9">
        <v>1734.0</v>
      </c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</row>
    <row r="1739">
      <c r="A1739" s="9">
        <v>1738.0</v>
      </c>
      <c r="B1739" s="9" t="s">
        <v>5205</v>
      </c>
      <c r="C1739" s="9">
        <v>1734.0</v>
      </c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</row>
    <row r="1740">
      <c r="A1740" s="9">
        <v>1739.0</v>
      </c>
      <c r="B1740" s="9" t="s">
        <v>5206</v>
      </c>
      <c r="C1740" s="9">
        <v>1734.0</v>
      </c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</row>
    <row r="1741">
      <c r="A1741" s="9">
        <v>1740.0</v>
      </c>
      <c r="B1741" s="9" t="s">
        <v>5207</v>
      </c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</row>
    <row r="1742">
      <c r="A1742" s="9">
        <v>1741.0</v>
      </c>
      <c r="B1742" s="9" t="s">
        <v>5208</v>
      </c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</row>
    <row r="1743">
      <c r="A1743" s="9">
        <v>1742.0</v>
      </c>
      <c r="B1743" s="9" t="s">
        <v>5209</v>
      </c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</row>
    <row r="1744">
      <c r="A1744" s="9">
        <v>1743.0</v>
      </c>
      <c r="B1744" s="9" t="s">
        <v>5210</v>
      </c>
      <c r="C1744" s="9">
        <v>1742.0</v>
      </c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</row>
    <row r="1745">
      <c r="A1745" s="9">
        <v>1744.0</v>
      </c>
      <c r="B1745" s="9" t="s">
        <v>5211</v>
      </c>
      <c r="C1745" s="9">
        <v>1742.0</v>
      </c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</row>
    <row r="1746">
      <c r="A1746" s="9">
        <v>1745.0</v>
      </c>
      <c r="B1746" s="9" t="s">
        <v>5212</v>
      </c>
      <c r="C1746" s="9">
        <v>1742.0</v>
      </c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</row>
    <row r="1747">
      <c r="A1747" s="9">
        <v>1746.0</v>
      </c>
      <c r="B1747" s="9" t="s">
        <v>5213</v>
      </c>
      <c r="C1747" s="9">
        <v>1742.0</v>
      </c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</row>
    <row r="1748">
      <c r="A1748" s="9">
        <v>1747.0</v>
      </c>
      <c r="B1748" s="9" t="s">
        <v>5214</v>
      </c>
      <c r="C1748" s="9">
        <v>1742.0</v>
      </c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</row>
    <row r="1749">
      <c r="A1749" s="9">
        <v>1748.0</v>
      </c>
      <c r="B1749" s="9" t="s">
        <v>5215</v>
      </c>
      <c r="C1749" s="9">
        <v>1742.0</v>
      </c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</row>
    <row r="1750">
      <c r="A1750" s="9">
        <v>1749.0</v>
      </c>
      <c r="B1750" s="9" t="s">
        <v>5216</v>
      </c>
      <c r="C1750" s="9">
        <v>1742.0</v>
      </c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</row>
    <row r="1751">
      <c r="A1751" s="9">
        <v>1750.0</v>
      </c>
      <c r="B1751" s="9" t="s">
        <v>5217</v>
      </c>
      <c r="C1751" s="9">
        <v>1742.0</v>
      </c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</row>
    <row r="1752">
      <c r="A1752" s="9">
        <v>1751.0</v>
      </c>
      <c r="B1752" s="9" t="s">
        <v>5218</v>
      </c>
      <c r="C1752" s="9">
        <v>1742.0</v>
      </c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</row>
    <row r="1753">
      <c r="A1753" s="9">
        <v>1752.0</v>
      </c>
      <c r="B1753" s="9" t="s">
        <v>5219</v>
      </c>
      <c r="C1753" s="9">
        <v>1742.0</v>
      </c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</row>
    <row r="1754">
      <c r="A1754" s="9">
        <v>1753.0</v>
      </c>
      <c r="B1754" s="9" t="s">
        <v>5220</v>
      </c>
      <c r="C1754" s="9">
        <v>1742.0</v>
      </c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</row>
    <row r="1755">
      <c r="A1755" s="9">
        <v>1754.0</v>
      </c>
      <c r="B1755" s="9" t="s">
        <v>5221</v>
      </c>
      <c r="C1755" s="9">
        <v>1742.0</v>
      </c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</row>
    <row r="1756">
      <c r="A1756" s="9">
        <v>1755.0</v>
      </c>
      <c r="B1756" s="9" t="s">
        <v>5222</v>
      </c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</row>
    <row r="1757">
      <c r="A1757" s="9">
        <v>1756.0</v>
      </c>
      <c r="B1757" s="9" t="s">
        <v>5223</v>
      </c>
      <c r="C1757" s="9">
        <v>1755.0</v>
      </c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</row>
    <row r="1758">
      <c r="A1758" s="9">
        <v>1757.0</v>
      </c>
      <c r="B1758" s="9" t="s">
        <v>5224</v>
      </c>
      <c r="C1758" s="9">
        <v>1755.0</v>
      </c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</row>
    <row r="1759">
      <c r="A1759" s="9">
        <v>1758.0</v>
      </c>
      <c r="B1759" s="9" t="s">
        <v>5225</v>
      </c>
      <c r="C1759" s="9">
        <v>1755.0</v>
      </c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</row>
    <row r="1760">
      <c r="A1760" s="9">
        <v>1759.0</v>
      </c>
      <c r="B1760" s="9" t="s">
        <v>5226</v>
      </c>
      <c r="C1760" s="9">
        <v>1755.0</v>
      </c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</row>
    <row r="1761">
      <c r="A1761" s="9">
        <v>1760.0</v>
      </c>
      <c r="B1761" s="9" t="s">
        <v>5227</v>
      </c>
      <c r="C1761" s="9">
        <v>1755.0</v>
      </c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</row>
    <row r="1762">
      <c r="A1762" s="9">
        <v>1761.0</v>
      </c>
      <c r="B1762" s="9" t="s">
        <v>5228</v>
      </c>
      <c r="C1762" s="9">
        <v>1755.0</v>
      </c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</row>
    <row r="1763">
      <c r="A1763" s="9">
        <v>1762.0</v>
      </c>
      <c r="B1763" s="9" t="s">
        <v>5229</v>
      </c>
      <c r="C1763" s="9">
        <v>1755.0</v>
      </c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</row>
    <row r="1764">
      <c r="A1764" s="9">
        <v>1763.0</v>
      </c>
      <c r="B1764" s="9" t="s">
        <v>5230</v>
      </c>
      <c r="C1764" s="9">
        <v>1755.0</v>
      </c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</row>
    <row r="1765">
      <c r="A1765" s="9">
        <v>1764.0</v>
      </c>
      <c r="B1765" s="9" t="s">
        <v>5231</v>
      </c>
      <c r="C1765" s="9">
        <v>1755.0</v>
      </c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</row>
    <row r="1766">
      <c r="A1766" s="9">
        <v>1765.0</v>
      </c>
      <c r="B1766" s="9" t="s">
        <v>5232</v>
      </c>
      <c r="C1766" s="9">
        <v>1755.0</v>
      </c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</row>
    <row r="1767">
      <c r="A1767" s="9">
        <v>1766.0</v>
      </c>
      <c r="B1767" s="9" t="s">
        <v>5233</v>
      </c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</row>
    <row r="1768">
      <c r="A1768" s="9">
        <v>1767.0</v>
      </c>
      <c r="B1768" s="9" t="s">
        <v>5234</v>
      </c>
      <c r="C1768" s="9">
        <v>1766.0</v>
      </c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</row>
    <row r="1769">
      <c r="A1769" s="9">
        <v>1768.0</v>
      </c>
      <c r="B1769" s="9" t="s">
        <v>5235</v>
      </c>
      <c r="C1769" s="9">
        <v>1766.0</v>
      </c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</row>
    <row r="1770">
      <c r="A1770" s="9">
        <v>1769.0</v>
      </c>
      <c r="B1770" s="9" t="s">
        <v>5236</v>
      </c>
      <c r="C1770" s="9">
        <v>1766.0</v>
      </c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</row>
    <row r="1771">
      <c r="A1771" s="9">
        <v>1770.0</v>
      </c>
      <c r="B1771" s="9" t="s">
        <v>5237</v>
      </c>
      <c r="C1771" s="9">
        <v>1766.0</v>
      </c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</row>
    <row r="1772">
      <c r="A1772" s="9">
        <v>1771.0</v>
      </c>
      <c r="B1772" s="9" t="s">
        <v>5238</v>
      </c>
      <c r="C1772" s="9">
        <v>1766.0</v>
      </c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</row>
    <row r="1773">
      <c r="A1773" s="9">
        <v>1772.0</v>
      </c>
      <c r="B1773" s="9" t="s">
        <v>5239</v>
      </c>
      <c r="C1773" s="9">
        <v>1766.0</v>
      </c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</row>
    <row r="1774">
      <c r="A1774" s="9">
        <v>1773.0</v>
      </c>
      <c r="B1774" s="9" t="s">
        <v>5240</v>
      </c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</row>
    <row r="1775">
      <c r="A1775" s="9">
        <v>1774.0</v>
      </c>
      <c r="B1775" s="9" t="s">
        <v>5241</v>
      </c>
      <c r="C1775" s="9">
        <v>1773.0</v>
      </c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</row>
    <row r="1776">
      <c r="A1776" s="9">
        <v>1775.0</v>
      </c>
      <c r="B1776" s="9" t="s">
        <v>5242</v>
      </c>
      <c r="C1776" s="9">
        <v>1773.0</v>
      </c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</row>
    <row r="1777">
      <c r="A1777" s="9">
        <v>1776.0</v>
      </c>
      <c r="B1777" s="9" t="s">
        <v>5243</v>
      </c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</row>
    <row r="1778">
      <c r="A1778" s="9">
        <v>1777.0</v>
      </c>
      <c r="B1778" s="9" t="s">
        <v>5244</v>
      </c>
      <c r="C1778" s="9">
        <v>1776.0</v>
      </c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</row>
    <row r="1779">
      <c r="A1779" s="9">
        <v>1778.0</v>
      </c>
      <c r="B1779" s="9" t="s">
        <v>5245</v>
      </c>
      <c r="C1779" s="9">
        <v>1776.0</v>
      </c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</row>
    <row r="1780">
      <c r="A1780" s="9">
        <v>1779.0</v>
      </c>
      <c r="B1780" s="9" t="s">
        <v>5246</v>
      </c>
      <c r="C1780" s="9">
        <v>1776.0</v>
      </c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</row>
    <row r="1781">
      <c r="A1781" s="9">
        <v>1780.0</v>
      </c>
      <c r="B1781" s="9" t="s">
        <v>5247</v>
      </c>
      <c r="C1781" s="9">
        <v>1776.0</v>
      </c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</row>
    <row r="1782">
      <c r="A1782" s="9">
        <v>1781.0</v>
      </c>
      <c r="B1782" s="9" t="s">
        <v>5248</v>
      </c>
      <c r="C1782" s="9">
        <v>1776.0</v>
      </c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</row>
    <row r="1783">
      <c r="A1783" s="9">
        <v>1782.0</v>
      </c>
      <c r="B1783" s="9" t="s">
        <v>5249</v>
      </c>
      <c r="C1783" s="9">
        <v>1776.0</v>
      </c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</row>
    <row r="1784">
      <c r="A1784" s="9">
        <v>1783.0</v>
      </c>
      <c r="B1784" s="9" t="s">
        <v>5250</v>
      </c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</row>
    <row r="1785">
      <c r="A1785" s="9">
        <v>1784.0</v>
      </c>
      <c r="B1785" s="9" t="s">
        <v>5251</v>
      </c>
      <c r="C1785" s="9">
        <v>1783.0</v>
      </c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</row>
    <row r="1786">
      <c r="A1786" s="9">
        <v>1785.0</v>
      </c>
      <c r="B1786" s="9" t="s">
        <v>5252</v>
      </c>
      <c r="C1786" s="9">
        <v>1783.0</v>
      </c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</row>
    <row r="1787">
      <c r="A1787" s="9">
        <v>1786.0</v>
      </c>
      <c r="B1787" s="9" t="s">
        <v>5253</v>
      </c>
      <c r="C1787" s="9">
        <v>1783.0</v>
      </c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</row>
    <row r="1788">
      <c r="A1788" s="9">
        <v>1787.0</v>
      </c>
      <c r="B1788" s="9" t="s">
        <v>5254</v>
      </c>
      <c r="C1788" s="9">
        <v>1783.0</v>
      </c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</row>
    <row r="1789">
      <c r="A1789" s="9">
        <v>1788.0</v>
      </c>
      <c r="B1789" s="9" t="s">
        <v>5255</v>
      </c>
      <c r="C1789" s="9">
        <v>1783.0</v>
      </c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</row>
    <row r="1790">
      <c r="A1790" s="9">
        <v>1789.0</v>
      </c>
      <c r="B1790" s="9" t="s">
        <v>5256</v>
      </c>
      <c r="C1790" s="9">
        <v>1783.0</v>
      </c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</row>
    <row r="1791">
      <c r="A1791" s="9">
        <v>1790.0</v>
      </c>
      <c r="B1791" s="9" t="s">
        <v>5257</v>
      </c>
      <c r="C1791" s="9">
        <v>1783.0</v>
      </c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</row>
    <row r="1792">
      <c r="A1792" s="9">
        <v>1791.0</v>
      </c>
      <c r="B1792" s="9" t="s">
        <v>5258</v>
      </c>
      <c r="C1792" s="9">
        <v>1783.0</v>
      </c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</row>
    <row r="1793">
      <c r="A1793" s="9">
        <v>1792.0</v>
      </c>
      <c r="B1793" s="9" t="s">
        <v>5259</v>
      </c>
      <c r="C1793" s="9">
        <v>1783.0</v>
      </c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</row>
    <row r="1794">
      <c r="A1794" s="9">
        <v>1793.0</v>
      </c>
      <c r="B1794" s="9" t="s">
        <v>5260</v>
      </c>
      <c r="C1794" s="9">
        <v>1783.0</v>
      </c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</row>
    <row r="1795">
      <c r="A1795" s="9">
        <v>1794.0</v>
      </c>
      <c r="B1795" s="9" t="s">
        <v>5261</v>
      </c>
      <c r="C1795" s="9">
        <v>1783.0</v>
      </c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</row>
    <row r="1796">
      <c r="A1796" s="9">
        <v>1795.0</v>
      </c>
      <c r="B1796" s="9" t="s">
        <v>5262</v>
      </c>
      <c r="C1796" s="9">
        <v>1783.0</v>
      </c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</row>
    <row r="1797">
      <c r="A1797" s="9">
        <v>1796.0</v>
      </c>
      <c r="B1797" s="9" t="s">
        <v>5263</v>
      </c>
      <c r="C1797" s="9">
        <v>1783.0</v>
      </c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</row>
    <row r="1798">
      <c r="A1798" s="9">
        <v>1797.0</v>
      </c>
      <c r="B1798" s="9" t="s">
        <v>5264</v>
      </c>
      <c r="C1798" s="9">
        <v>1783.0</v>
      </c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</row>
    <row r="1799">
      <c r="A1799" s="9">
        <v>1798.0</v>
      </c>
      <c r="B1799" s="9" t="s">
        <v>5265</v>
      </c>
      <c r="C1799" s="9">
        <v>1783.0</v>
      </c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</row>
    <row r="1800">
      <c r="A1800" s="9">
        <v>1799.0</v>
      </c>
      <c r="B1800" s="9" t="s">
        <v>5266</v>
      </c>
      <c r="C1800" s="9">
        <v>1783.0</v>
      </c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</row>
    <row r="1801">
      <c r="A1801" s="9">
        <v>1800.0</v>
      </c>
      <c r="B1801" s="9" t="s">
        <v>5267</v>
      </c>
      <c r="C1801" s="9">
        <v>1783.0</v>
      </c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</row>
    <row r="1802">
      <c r="A1802" s="9">
        <v>1801.0</v>
      </c>
      <c r="B1802" s="9" t="s">
        <v>5268</v>
      </c>
      <c r="C1802" s="9">
        <v>1783.0</v>
      </c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</row>
    <row r="1803">
      <c r="A1803" s="9">
        <v>1802.0</v>
      </c>
      <c r="B1803" s="9" t="s">
        <v>5269</v>
      </c>
      <c r="C1803" s="9">
        <v>1783.0</v>
      </c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</row>
    <row r="1804">
      <c r="A1804" s="9">
        <v>1803.0</v>
      </c>
      <c r="B1804" s="9" t="s">
        <v>5270</v>
      </c>
      <c r="C1804" s="9">
        <v>1783.0</v>
      </c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</row>
    <row r="1805">
      <c r="A1805" s="9">
        <v>1804.0</v>
      </c>
      <c r="B1805" s="9" t="s">
        <v>5271</v>
      </c>
      <c r="C1805" s="9">
        <v>1783.0</v>
      </c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</row>
    <row r="1806">
      <c r="A1806" s="9">
        <v>1805.0</v>
      </c>
      <c r="B1806" s="9" t="s">
        <v>5272</v>
      </c>
      <c r="C1806" s="9">
        <v>1783.0</v>
      </c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</row>
    <row r="1807">
      <c r="A1807" s="9">
        <v>1806.0</v>
      </c>
      <c r="B1807" s="9" t="s">
        <v>5273</v>
      </c>
      <c r="C1807" s="9">
        <v>1783.0</v>
      </c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</row>
    <row r="1808">
      <c r="A1808" s="9">
        <v>1807.0</v>
      </c>
      <c r="B1808" s="9" t="s">
        <v>5274</v>
      </c>
      <c r="C1808" s="9">
        <v>1783.0</v>
      </c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</row>
    <row r="1809">
      <c r="A1809" s="9">
        <v>1808.0</v>
      </c>
      <c r="B1809" s="9" t="s">
        <v>5275</v>
      </c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</row>
    <row r="1810">
      <c r="A1810" s="9">
        <v>1809.0</v>
      </c>
      <c r="B1810" s="9" t="s">
        <v>5276</v>
      </c>
      <c r="C1810" s="9">
        <v>1808.0</v>
      </c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</row>
    <row r="1811">
      <c r="A1811" s="9">
        <v>1810.0</v>
      </c>
      <c r="B1811" s="9" t="s">
        <v>5277</v>
      </c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</row>
    <row r="1812">
      <c r="A1812" s="9">
        <v>1811.0</v>
      </c>
      <c r="B1812" s="9" t="s">
        <v>5278</v>
      </c>
      <c r="C1812" s="9">
        <v>1810.0</v>
      </c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</row>
    <row r="1813">
      <c r="A1813" s="9">
        <v>1812.0</v>
      </c>
      <c r="B1813" s="9" t="s">
        <v>5279</v>
      </c>
      <c r="C1813" s="9">
        <v>1810.0</v>
      </c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</row>
    <row r="1814">
      <c r="A1814" s="9">
        <v>1813.0</v>
      </c>
      <c r="B1814" s="9" t="s">
        <v>5280</v>
      </c>
      <c r="C1814" s="9">
        <v>1810.0</v>
      </c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</row>
    <row r="1815">
      <c r="A1815" s="9">
        <v>1814.0</v>
      </c>
      <c r="B1815" s="9" t="s">
        <v>5281</v>
      </c>
      <c r="C1815" s="9">
        <v>1810.0</v>
      </c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</row>
    <row r="1816">
      <c r="A1816" s="9">
        <v>1815.0</v>
      </c>
      <c r="B1816" s="9" t="s">
        <v>5282</v>
      </c>
      <c r="C1816" s="9">
        <v>1810.0</v>
      </c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</row>
    <row r="1817">
      <c r="A1817" s="9">
        <v>1816.0</v>
      </c>
      <c r="B1817" s="9" t="s">
        <v>5283</v>
      </c>
      <c r="C1817" s="9">
        <v>1810.0</v>
      </c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</row>
    <row r="1818">
      <c r="A1818" s="9">
        <v>1817.0</v>
      </c>
      <c r="B1818" s="9" t="s">
        <v>5284</v>
      </c>
      <c r="C1818" s="9">
        <v>1810.0</v>
      </c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</row>
    <row r="1819">
      <c r="A1819" s="9">
        <v>1818.0</v>
      </c>
      <c r="B1819" s="9" t="s">
        <v>5285</v>
      </c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</row>
    <row r="1820">
      <c r="A1820" s="9">
        <v>1819.0</v>
      </c>
      <c r="B1820" s="9" t="s">
        <v>5286</v>
      </c>
      <c r="C1820" s="9">
        <v>1818.0</v>
      </c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</row>
    <row r="1821">
      <c r="A1821" s="9">
        <v>1820.0</v>
      </c>
      <c r="B1821" s="9" t="s">
        <v>5287</v>
      </c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</row>
    <row r="1822">
      <c r="A1822" s="9">
        <v>1821.0</v>
      </c>
      <c r="B1822" s="9" t="s">
        <v>5288</v>
      </c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</row>
    <row r="1823">
      <c r="A1823" s="9">
        <v>1822.0</v>
      </c>
      <c r="B1823" s="9" t="s">
        <v>5289</v>
      </c>
      <c r="C1823" s="9">
        <v>1821.0</v>
      </c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</row>
    <row r="1824">
      <c r="A1824" s="9">
        <v>1823.0</v>
      </c>
      <c r="B1824" s="9" t="s">
        <v>5290</v>
      </c>
      <c r="C1824" s="9">
        <v>1821.0</v>
      </c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</row>
    <row r="1825">
      <c r="A1825" s="9">
        <v>1824.0</v>
      </c>
      <c r="B1825" s="9" t="s">
        <v>5291</v>
      </c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</row>
    <row r="1826">
      <c r="A1826" s="9">
        <v>1825.0</v>
      </c>
      <c r="B1826" s="9" t="s">
        <v>5292</v>
      </c>
      <c r="C1826" s="9">
        <v>1824.0</v>
      </c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</row>
    <row r="1827">
      <c r="A1827" s="9">
        <v>1826.0</v>
      </c>
      <c r="B1827" s="9" t="s">
        <v>5293</v>
      </c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</row>
    <row r="1828">
      <c r="A1828" s="9">
        <v>1827.0</v>
      </c>
      <c r="B1828" s="9" t="s">
        <v>5294</v>
      </c>
      <c r="C1828" s="9">
        <v>1826.0</v>
      </c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</row>
    <row r="1829">
      <c r="A1829" s="9">
        <v>1828.0</v>
      </c>
      <c r="B1829" s="9" t="s">
        <v>5295</v>
      </c>
      <c r="C1829" s="9">
        <v>1826.0</v>
      </c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</row>
    <row r="1830">
      <c r="A1830" s="9">
        <v>1829.0</v>
      </c>
      <c r="B1830" s="9" t="s">
        <v>5296</v>
      </c>
      <c r="C1830" s="9">
        <v>1826.0</v>
      </c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</row>
    <row r="1831">
      <c r="A1831" s="9">
        <v>1830.0</v>
      </c>
      <c r="B1831" s="9" t="s">
        <v>5297</v>
      </c>
      <c r="C1831" s="9">
        <v>1826.0</v>
      </c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</row>
    <row r="1832">
      <c r="A1832" s="9">
        <v>1831.0</v>
      </c>
      <c r="B1832" s="9" t="s">
        <v>5298</v>
      </c>
      <c r="C1832" s="9">
        <v>1826.0</v>
      </c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</row>
    <row r="1833">
      <c r="A1833" s="9">
        <v>1832.0</v>
      </c>
      <c r="B1833" s="9" t="s">
        <v>5299</v>
      </c>
      <c r="C1833" s="9">
        <v>1826.0</v>
      </c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</row>
    <row r="1834">
      <c r="A1834" s="9">
        <v>1833.0</v>
      </c>
      <c r="B1834" s="9" t="s">
        <v>5300</v>
      </c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</row>
    <row r="1835">
      <c r="A1835" s="9">
        <v>1834.0</v>
      </c>
      <c r="B1835" s="9" t="s">
        <v>5301</v>
      </c>
      <c r="C1835" s="9">
        <v>1833.0</v>
      </c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</row>
    <row r="1836">
      <c r="A1836" s="9">
        <v>1835.0</v>
      </c>
      <c r="B1836" s="9" t="s">
        <v>5302</v>
      </c>
      <c r="C1836" s="9">
        <v>1833.0</v>
      </c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</row>
    <row r="1837">
      <c r="A1837" s="9">
        <v>1836.0</v>
      </c>
      <c r="B1837" s="9" t="s">
        <v>5303</v>
      </c>
      <c r="C1837" s="9">
        <v>1833.0</v>
      </c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</row>
    <row r="1838">
      <c r="A1838" s="9">
        <v>1837.0</v>
      </c>
      <c r="B1838" s="9" t="s">
        <v>5304</v>
      </c>
      <c r="C1838" s="9">
        <v>1833.0</v>
      </c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</row>
    <row r="1839">
      <c r="A1839" s="9">
        <v>1838.0</v>
      </c>
      <c r="B1839" s="9" t="s">
        <v>5305</v>
      </c>
      <c r="C1839" s="9">
        <v>1833.0</v>
      </c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</row>
    <row r="1840">
      <c r="A1840" s="9">
        <v>1839.0</v>
      </c>
      <c r="B1840" s="9" t="s">
        <v>5306</v>
      </c>
      <c r="C1840" s="9">
        <v>1833.0</v>
      </c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</row>
    <row r="1841">
      <c r="A1841" s="9">
        <v>1840.0</v>
      </c>
      <c r="B1841" s="9" t="s">
        <v>5307</v>
      </c>
      <c r="C1841" s="9">
        <v>1833.0</v>
      </c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</row>
    <row r="1842">
      <c r="A1842" s="9">
        <v>1841.0</v>
      </c>
      <c r="B1842" s="9" t="s">
        <v>5308</v>
      </c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</row>
    <row r="1843">
      <c r="A1843" s="9">
        <v>1842.0</v>
      </c>
      <c r="B1843" s="9" t="s">
        <v>5309</v>
      </c>
      <c r="C1843" s="9">
        <v>1841.0</v>
      </c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</row>
    <row r="1844">
      <c r="A1844" s="9">
        <v>1843.0</v>
      </c>
      <c r="B1844" s="9" t="s">
        <v>5310</v>
      </c>
      <c r="C1844" s="9">
        <v>1841.0</v>
      </c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</row>
    <row r="1845">
      <c r="A1845" s="9">
        <v>1844.0</v>
      </c>
      <c r="B1845" s="9" t="s">
        <v>5311</v>
      </c>
      <c r="C1845" s="9">
        <v>1841.0</v>
      </c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</row>
    <row r="1846">
      <c r="A1846" s="9">
        <v>1845.0</v>
      </c>
      <c r="B1846" s="9" t="s">
        <v>5312</v>
      </c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</row>
    <row r="1847">
      <c r="A1847" s="9">
        <v>1846.0</v>
      </c>
      <c r="B1847" s="9" t="s">
        <v>5313</v>
      </c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</row>
    <row r="1848">
      <c r="A1848" s="9">
        <v>1847.0</v>
      </c>
      <c r="B1848" s="9" t="s">
        <v>5314</v>
      </c>
      <c r="C1848" s="9">
        <v>1846.0</v>
      </c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</row>
    <row r="1849">
      <c r="A1849" s="9">
        <v>1848.0</v>
      </c>
      <c r="B1849" s="9" t="s">
        <v>5315</v>
      </c>
      <c r="C1849" s="9">
        <v>1846.0</v>
      </c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</row>
    <row r="1850">
      <c r="A1850" s="9">
        <v>1849.0</v>
      </c>
      <c r="B1850" s="9" t="s">
        <v>5316</v>
      </c>
      <c r="C1850" s="9">
        <v>1846.0</v>
      </c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</row>
    <row r="1851">
      <c r="A1851" s="9">
        <v>1850.0</v>
      </c>
      <c r="B1851" s="9" t="s">
        <v>5317</v>
      </c>
      <c r="C1851" s="9">
        <v>1846.0</v>
      </c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</row>
    <row r="1852">
      <c r="A1852" s="9">
        <v>1851.0</v>
      </c>
      <c r="B1852" s="9" t="s">
        <v>5318</v>
      </c>
      <c r="C1852" s="9">
        <v>1846.0</v>
      </c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</row>
    <row r="1853">
      <c r="A1853" s="9">
        <v>1852.0</v>
      </c>
      <c r="B1853" s="9" t="s">
        <v>5319</v>
      </c>
      <c r="C1853" s="9">
        <v>1846.0</v>
      </c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</row>
    <row r="1854">
      <c r="A1854" s="9">
        <v>1853.0</v>
      </c>
      <c r="B1854" s="9" t="s">
        <v>5320</v>
      </c>
      <c r="C1854" s="9">
        <v>1846.0</v>
      </c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</row>
    <row r="1855">
      <c r="A1855" s="9">
        <v>1854.0</v>
      </c>
      <c r="B1855" s="9" t="s">
        <v>5321</v>
      </c>
      <c r="C1855" s="9">
        <v>1846.0</v>
      </c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</row>
    <row r="1856">
      <c r="A1856" s="9">
        <v>1855.0</v>
      </c>
      <c r="B1856" s="9" t="s">
        <v>5322</v>
      </c>
      <c r="C1856" s="9">
        <v>1846.0</v>
      </c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</row>
    <row r="1857">
      <c r="A1857" s="9">
        <v>1856.0</v>
      </c>
      <c r="B1857" s="9" t="s">
        <v>5323</v>
      </c>
      <c r="C1857" s="9">
        <v>1846.0</v>
      </c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</row>
    <row r="1858">
      <c r="A1858" s="9">
        <v>1857.0</v>
      </c>
      <c r="B1858" s="9" t="s">
        <v>5324</v>
      </c>
      <c r="C1858" s="9">
        <v>1846.0</v>
      </c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</row>
    <row r="1859">
      <c r="A1859" s="9">
        <v>1858.0</v>
      </c>
      <c r="B1859" s="9" t="s">
        <v>5325</v>
      </c>
      <c r="C1859" s="9">
        <v>1846.0</v>
      </c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</row>
    <row r="1860">
      <c r="A1860" s="9">
        <v>1859.0</v>
      </c>
      <c r="B1860" s="9" t="s">
        <v>5326</v>
      </c>
      <c r="C1860" s="9">
        <v>1846.0</v>
      </c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</row>
    <row r="1861">
      <c r="A1861" s="9">
        <v>1860.0</v>
      </c>
      <c r="B1861" s="9" t="s">
        <v>5327</v>
      </c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</row>
    <row r="1862">
      <c r="A1862" s="9">
        <v>1861.0</v>
      </c>
      <c r="B1862" s="9" t="s">
        <v>5328</v>
      </c>
      <c r="C1862" s="9">
        <v>1860.0</v>
      </c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</row>
    <row r="1863">
      <c r="A1863" s="9">
        <v>1862.0</v>
      </c>
      <c r="B1863" s="9" t="s">
        <v>5329</v>
      </c>
      <c r="C1863" s="9">
        <v>1860.0</v>
      </c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</row>
    <row r="1864">
      <c r="A1864" s="9">
        <v>1863.0</v>
      </c>
      <c r="B1864" s="9" t="s">
        <v>5330</v>
      </c>
      <c r="C1864" s="9">
        <v>1860.0</v>
      </c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</row>
    <row r="1865">
      <c r="A1865" s="9">
        <v>1864.0</v>
      </c>
      <c r="B1865" s="9" t="s">
        <v>5331</v>
      </c>
      <c r="C1865" s="9">
        <v>1860.0</v>
      </c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</row>
    <row r="1866">
      <c r="A1866" s="9">
        <v>1865.0</v>
      </c>
      <c r="B1866" s="9" t="s">
        <v>5332</v>
      </c>
      <c r="C1866" s="9">
        <v>1860.0</v>
      </c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</row>
    <row r="1867">
      <c r="A1867" s="9">
        <v>1866.0</v>
      </c>
      <c r="B1867" s="9" t="s">
        <v>5333</v>
      </c>
      <c r="C1867" s="9">
        <v>1860.0</v>
      </c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</row>
    <row r="1868">
      <c r="A1868" s="9">
        <v>1867.0</v>
      </c>
      <c r="B1868" s="9" t="s">
        <v>5334</v>
      </c>
      <c r="C1868" s="9">
        <v>1860.0</v>
      </c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</row>
    <row r="1869">
      <c r="A1869" s="9">
        <v>1868.0</v>
      </c>
      <c r="B1869" s="9" t="s">
        <v>5335</v>
      </c>
      <c r="C1869" s="9">
        <v>1860.0</v>
      </c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</row>
    <row r="1870">
      <c r="A1870" s="9">
        <v>1869.0</v>
      </c>
      <c r="B1870" s="9" t="s">
        <v>5336</v>
      </c>
      <c r="C1870" s="9">
        <v>1860.0</v>
      </c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</row>
    <row r="1871">
      <c r="A1871" s="9">
        <v>1870.0</v>
      </c>
      <c r="B1871" s="9" t="s">
        <v>5337</v>
      </c>
      <c r="C1871" s="9">
        <v>1860.0</v>
      </c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</row>
    <row r="1872">
      <c r="A1872" s="9">
        <v>1871.0</v>
      </c>
      <c r="B1872" s="9" t="s">
        <v>5338</v>
      </c>
      <c r="C1872" s="9">
        <v>1860.0</v>
      </c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</row>
    <row r="1873">
      <c r="A1873" s="9">
        <v>1872.0</v>
      </c>
      <c r="B1873" s="9" t="s">
        <v>5339</v>
      </c>
      <c r="C1873" s="9">
        <v>1860.0</v>
      </c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</row>
    <row r="1874">
      <c r="A1874" s="9">
        <v>1873.0</v>
      </c>
      <c r="B1874" s="9" t="s">
        <v>5340</v>
      </c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</row>
    <row r="1875">
      <c r="A1875" s="9">
        <v>1874.0</v>
      </c>
      <c r="B1875" s="9" t="s">
        <v>5341</v>
      </c>
      <c r="C1875" s="9">
        <v>1873.0</v>
      </c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</row>
    <row r="1876">
      <c r="A1876" s="9">
        <v>1875.0</v>
      </c>
      <c r="B1876" s="9" t="s">
        <v>5342</v>
      </c>
      <c r="C1876" s="9">
        <v>1873.0</v>
      </c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</row>
    <row r="1877">
      <c r="A1877" s="9">
        <v>1876.0</v>
      </c>
      <c r="B1877" s="9" t="s">
        <v>5343</v>
      </c>
      <c r="C1877" s="9">
        <v>1873.0</v>
      </c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</row>
    <row r="1878">
      <c r="A1878" s="9">
        <v>1877.0</v>
      </c>
      <c r="B1878" s="9" t="s">
        <v>5344</v>
      </c>
      <c r="C1878" s="9">
        <v>1873.0</v>
      </c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</row>
    <row r="1879">
      <c r="A1879" s="9">
        <v>1878.0</v>
      </c>
      <c r="B1879" s="9" t="s">
        <v>5345</v>
      </c>
      <c r="C1879" s="9">
        <v>1873.0</v>
      </c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</row>
    <row r="1880">
      <c r="A1880" s="9">
        <v>1879.0</v>
      </c>
      <c r="B1880" s="9" t="s">
        <v>5346</v>
      </c>
      <c r="C1880" s="9">
        <v>1873.0</v>
      </c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</row>
    <row r="1881">
      <c r="A1881" s="9">
        <v>1880.0</v>
      </c>
      <c r="B1881" s="9" t="s">
        <v>5347</v>
      </c>
      <c r="C1881" s="9">
        <v>1873.0</v>
      </c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</row>
    <row r="1882">
      <c r="A1882" s="9">
        <v>1881.0</v>
      </c>
      <c r="B1882" s="9" t="s">
        <v>5348</v>
      </c>
      <c r="C1882" s="9">
        <v>1873.0</v>
      </c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</row>
    <row r="1883">
      <c r="A1883" s="9">
        <v>1882.0</v>
      </c>
      <c r="B1883" s="9" t="s">
        <v>5349</v>
      </c>
      <c r="C1883" s="9">
        <v>1873.0</v>
      </c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</row>
    <row r="1884">
      <c r="A1884" s="9">
        <v>1883.0</v>
      </c>
      <c r="B1884" s="9" t="s">
        <v>5350</v>
      </c>
      <c r="C1884" s="9">
        <v>1873.0</v>
      </c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</row>
    <row r="1885">
      <c r="A1885" s="9">
        <v>1884.0</v>
      </c>
      <c r="B1885" s="9" t="s">
        <v>5351</v>
      </c>
      <c r="C1885" s="9">
        <v>1873.0</v>
      </c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</row>
    <row r="1886">
      <c r="A1886" s="9">
        <v>1885.0</v>
      </c>
      <c r="B1886" s="9" t="s">
        <v>5352</v>
      </c>
      <c r="C1886" s="9">
        <v>1873.0</v>
      </c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</row>
    <row r="1887">
      <c r="A1887" s="9">
        <v>1886.0</v>
      </c>
      <c r="B1887" s="9" t="s">
        <v>5353</v>
      </c>
      <c r="C1887" s="9">
        <v>1873.0</v>
      </c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</row>
    <row r="1888">
      <c r="A1888" s="9">
        <v>1887.0</v>
      </c>
      <c r="B1888" s="9" t="s">
        <v>5354</v>
      </c>
      <c r="C1888" s="9">
        <v>1873.0</v>
      </c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</row>
    <row r="1889">
      <c r="A1889" s="9">
        <v>1888.0</v>
      </c>
      <c r="B1889" s="9" t="s">
        <v>5355</v>
      </c>
      <c r="C1889" s="9">
        <v>1873.0</v>
      </c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</row>
    <row r="1890">
      <c r="A1890" s="9">
        <v>1889.0</v>
      </c>
      <c r="B1890" s="9" t="s">
        <v>5356</v>
      </c>
      <c r="C1890" s="9">
        <v>1873.0</v>
      </c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</row>
    <row r="1891">
      <c r="A1891" s="9">
        <v>1890.0</v>
      </c>
      <c r="B1891" s="9" t="s">
        <v>5357</v>
      </c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</row>
    <row r="1892">
      <c r="A1892" s="9">
        <v>1891.0</v>
      </c>
      <c r="B1892" s="9" t="s">
        <v>5358</v>
      </c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</row>
    <row r="1893">
      <c r="A1893" s="9">
        <v>1892.0</v>
      </c>
      <c r="B1893" s="9" t="s">
        <v>5359</v>
      </c>
      <c r="C1893" s="9">
        <v>1891.0</v>
      </c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</row>
    <row r="1894">
      <c r="A1894" s="9">
        <v>1893.0</v>
      </c>
      <c r="B1894" s="9" t="s">
        <v>5360</v>
      </c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</row>
    <row r="1895">
      <c r="A1895" s="9">
        <v>1894.0</v>
      </c>
      <c r="B1895" s="9" t="s">
        <v>5361</v>
      </c>
      <c r="C1895" s="9">
        <v>1893.0</v>
      </c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</row>
    <row r="1896">
      <c r="A1896" s="9">
        <v>1895.0</v>
      </c>
      <c r="B1896" s="9" t="s">
        <v>5362</v>
      </c>
      <c r="C1896" s="9">
        <v>1893.0</v>
      </c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</row>
    <row r="1897">
      <c r="A1897" s="9">
        <v>1896.0</v>
      </c>
      <c r="B1897" s="9" t="s">
        <v>5363</v>
      </c>
      <c r="C1897" s="9">
        <v>1893.0</v>
      </c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</row>
    <row r="1898">
      <c r="A1898" s="9">
        <v>1897.0</v>
      </c>
      <c r="B1898" s="9" t="s">
        <v>5364</v>
      </c>
      <c r="C1898" s="9">
        <v>1893.0</v>
      </c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</row>
    <row r="1899">
      <c r="A1899" s="9">
        <v>1898.0</v>
      </c>
      <c r="B1899" s="9" t="s">
        <v>5365</v>
      </c>
      <c r="C1899" s="9">
        <v>1893.0</v>
      </c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</row>
    <row r="1900">
      <c r="A1900" s="9">
        <v>1899.0</v>
      </c>
      <c r="B1900" s="9" t="s">
        <v>5366</v>
      </c>
      <c r="C1900" s="9">
        <v>1893.0</v>
      </c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</row>
    <row r="1901">
      <c r="A1901" s="9">
        <v>1900.0</v>
      </c>
      <c r="B1901" s="9" t="s">
        <v>5367</v>
      </c>
      <c r="C1901" s="9">
        <v>1893.0</v>
      </c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</row>
    <row r="1902">
      <c r="A1902" s="9">
        <v>1901.0</v>
      </c>
      <c r="B1902" s="9" t="s">
        <v>5368</v>
      </c>
      <c r="C1902" s="9">
        <v>1893.0</v>
      </c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</row>
    <row r="1903">
      <c r="A1903" s="9">
        <v>1902.0</v>
      </c>
      <c r="B1903" s="9" t="s">
        <v>5369</v>
      </c>
      <c r="C1903" s="9">
        <v>1893.0</v>
      </c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</row>
    <row r="1904">
      <c r="A1904" s="9">
        <v>1903.0</v>
      </c>
      <c r="B1904" s="9" t="s">
        <v>5370</v>
      </c>
      <c r="C1904" s="9">
        <v>1893.0</v>
      </c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</row>
    <row r="1905">
      <c r="A1905" s="9">
        <v>1904.0</v>
      </c>
      <c r="B1905" s="9" t="s">
        <v>5371</v>
      </c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</row>
    <row r="1906">
      <c r="A1906" s="9">
        <v>1905.0</v>
      </c>
      <c r="B1906" s="9" t="s">
        <v>5372</v>
      </c>
      <c r="C1906" s="9">
        <v>1904.0</v>
      </c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</row>
    <row r="1907">
      <c r="A1907" s="9">
        <v>1906.0</v>
      </c>
      <c r="B1907" s="9" t="s">
        <v>5373</v>
      </c>
      <c r="C1907" s="9">
        <v>1904.0</v>
      </c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</row>
    <row r="1908">
      <c r="A1908" s="9">
        <v>1907.0</v>
      </c>
      <c r="B1908" s="9" t="s">
        <v>5374</v>
      </c>
      <c r="C1908" s="9">
        <v>1904.0</v>
      </c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</row>
    <row r="1909">
      <c r="A1909" s="9">
        <v>1908.0</v>
      </c>
      <c r="B1909" s="9" t="s">
        <v>5375</v>
      </c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</row>
    <row r="1910">
      <c r="A1910" s="9">
        <v>1909.0</v>
      </c>
      <c r="B1910" s="9" t="s">
        <v>5376</v>
      </c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</row>
    <row r="1911">
      <c r="A1911" s="9">
        <v>1910.0</v>
      </c>
      <c r="B1911" s="9" t="s">
        <v>5377</v>
      </c>
      <c r="C1911" s="9">
        <v>1909.0</v>
      </c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</row>
    <row r="1912">
      <c r="A1912" s="9">
        <v>1911.0</v>
      </c>
      <c r="B1912" s="9" t="s">
        <v>5378</v>
      </c>
      <c r="C1912" s="9">
        <v>1909.0</v>
      </c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</row>
    <row r="1913">
      <c r="A1913" s="9">
        <v>1912.0</v>
      </c>
      <c r="B1913" s="9" t="s">
        <v>5379</v>
      </c>
      <c r="C1913" s="9">
        <v>1909.0</v>
      </c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</row>
    <row r="1914">
      <c r="A1914" s="9">
        <v>1913.0</v>
      </c>
      <c r="B1914" s="9" t="s">
        <v>5380</v>
      </c>
      <c r="C1914" s="9">
        <v>1909.0</v>
      </c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</row>
    <row r="1915">
      <c r="A1915" s="9">
        <v>1914.0</v>
      </c>
      <c r="B1915" s="9" t="s">
        <v>5381</v>
      </c>
      <c r="C1915" s="9">
        <v>1909.0</v>
      </c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</row>
    <row r="1916">
      <c r="A1916" s="9">
        <v>1915.0</v>
      </c>
      <c r="B1916" s="9" t="s">
        <v>5382</v>
      </c>
      <c r="C1916" s="9">
        <v>1909.0</v>
      </c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</row>
    <row r="1917">
      <c r="A1917" s="9">
        <v>1916.0</v>
      </c>
      <c r="B1917" s="9" t="s">
        <v>5383</v>
      </c>
      <c r="C1917" s="9">
        <v>1909.0</v>
      </c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</row>
    <row r="1918">
      <c r="A1918" s="9">
        <v>1917.0</v>
      </c>
      <c r="B1918" s="9" t="s">
        <v>5384</v>
      </c>
      <c r="C1918" s="9">
        <v>1909.0</v>
      </c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</row>
    <row r="1919">
      <c r="A1919" s="9">
        <v>1918.0</v>
      </c>
      <c r="B1919" s="9" t="s">
        <v>5385</v>
      </c>
      <c r="C1919" s="9">
        <v>1909.0</v>
      </c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</row>
    <row r="1920">
      <c r="A1920" s="9">
        <v>1919.0</v>
      </c>
      <c r="B1920" s="9" t="s">
        <v>5386</v>
      </c>
      <c r="C1920" s="9">
        <v>1909.0</v>
      </c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</row>
    <row r="1921">
      <c r="A1921" s="9">
        <v>1920.0</v>
      </c>
      <c r="B1921" s="9" t="s">
        <v>5387</v>
      </c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</row>
    <row r="1922">
      <c r="A1922" s="9">
        <v>1921.0</v>
      </c>
      <c r="B1922" s="9" t="s">
        <v>5388</v>
      </c>
      <c r="C1922" s="9">
        <v>1920.0</v>
      </c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</row>
    <row r="1923">
      <c r="A1923" s="9">
        <v>1922.0</v>
      </c>
      <c r="B1923" s="9" t="s">
        <v>5389</v>
      </c>
      <c r="C1923" s="9">
        <v>1920.0</v>
      </c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</row>
    <row r="1924">
      <c r="A1924" s="9">
        <v>1923.0</v>
      </c>
      <c r="B1924" s="9" t="s">
        <v>5390</v>
      </c>
      <c r="C1924" s="9">
        <v>1920.0</v>
      </c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</row>
    <row r="1925">
      <c r="A1925" s="9">
        <v>1924.0</v>
      </c>
      <c r="B1925" s="9" t="s">
        <v>5391</v>
      </c>
      <c r="C1925" s="9">
        <v>1920.0</v>
      </c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</row>
    <row r="1926">
      <c r="A1926" s="9">
        <v>1925.0</v>
      </c>
      <c r="B1926" s="9" t="s">
        <v>5392</v>
      </c>
      <c r="C1926" s="9">
        <v>1920.0</v>
      </c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</row>
    <row r="1927">
      <c r="A1927" s="9">
        <v>1926.0</v>
      </c>
      <c r="B1927" s="9" t="s">
        <v>5393</v>
      </c>
      <c r="C1927" s="9">
        <v>1920.0</v>
      </c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</row>
    <row r="1928">
      <c r="A1928" s="9">
        <v>1927.0</v>
      </c>
      <c r="B1928" s="9" t="s">
        <v>5394</v>
      </c>
      <c r="C1928" s="9">
        <v>1920.0</v>
      </c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</row>
    <row r="1929">
      <c r="A1929" s="9">
        <v>1928.0</v>
      </c>
      <c r="B1929" s="9" t="s">
        <v>5395</v>
      </c>
      <c r="C1929" s="9">
        <v>1920.0</v>
      </c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</row>
    <row r="1930">
      <c r="A1930" s="9">
        <v>1929.0</v>
      </c>
      <c r="B1930" s="9" t="s">
        <v>5396</v>
      </c>
      <c r="C1930" s="9">
        <v>1920.0</v>
      </c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</row>
    <row r="1931">
      <c r="A1931" s="9">
        <v>1930.0</v>
      </c>
      <c r="B1931" s="9" t="s">
        <v>5397</v>
      </c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</row>
    <row r="1932">
      <c r="A1932" s="9">
        <v>1931.0</v>
      </c>
      <c r="B1932" s="9" t="s">
        <v>5398</v>
      </c>
      <c r="C1932" s="9">
        <v>1930.0</v>
      </c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</row>
    <row r="1933">
      <c r="A1933" s="9">
        <v>1932.0</v>
      </c>
      <c r="B1933" s="9" t="s">
        <v>5399</v>
      </c>
      <c r="C1933" s="9">
        <v>1930.0</v>
      </c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</row>
    <row r="1934">
      <c r="A1934" s="9">
        <v>1933.0</v>
      </c>
      <c r="B1934" s="9" t="s">
        <v>5400</v>
      </c>
      <c r="C1934" s="9">
        <v>1930.0</v>
      </c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</row>
    <row r="1935">
      <c r="A1935" s="9">
        <v>1934.0</v>
      </c>
      <c r="B1935" s="9" t="s">
        <v>5401</v>
      </c>
      <c r="C1935" s="9">
        <v>1930.0</v>
      </c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</row>
    <row r="1936">
      <c r="A1936" s="9">
        <v>1935.0</v>
      </c>
      <c r="B1936" s="9" t="s">
        <v>5402</v>
      </c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</row>
    <row r="1937">
      <c r="A1937" s="9">
        <v>1936.0</v>
      </c>
      <c r="B1937" s="9" t="s">
        <v>5403</v>
      </c>
      <c r="C1937" s="9">
        <v>1935.0</v>
      </c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</row>
    <row r="1938">
      <c r="A1938" s="9">
        <v>1937.0</v>
      </c>
      <c r="B1938" s="9" t="s">
        <v>5404</v>
      </c>
      <c r="C1938" s="9">
        <v>1935.0</v>
      </c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</row>
    <row r="1939">
      <c r="A1939" s="9">
        <v>1938.0</v>
      </c>
      <c r="B1939" s="9" t="s">
        <v>5405</v>
      </c>
      <c r="C1939" s="9">
        <v>1935.0</v>
      </c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</row>
    <row r="1940">
      <c r="A1940" s="9">
        <v>1939.0</v>
      </c>
      <c r="B1940" s="9" t="s">
        <v>5406</v>
      </c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</row>
    <row r="1941">
      <c r="A1941" s="9">
        <v>1940.0</v>
      </c>
      <c r="B1941" s="9" t="s">
        <v>5407</v>
      </c>
      <c r="C1941" s="9">
        <v>1939.0</v>
      </c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</row>
    <row r="1942">
      <c r="A1942" s="9">
        <v>1941.0</v>
      </c>
      <c r="B1942" s="9" t="s">
        <v>5408</v>
      </c>
      <c r="C1942" s="9">
        <v>1939.0</v>
      </c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</row>
    <row r="1943">
      <c r="A1943" s="9">
        <v>1942.0</v>
      </c>
      <c r="B1943" s="9" t="s">
        <v>5409</v>
      </c>
      <c r="C1943" s="9">
        <v>1939.0</v>
      </c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</row>
    <row r="1944">
      <c r="A1944" s="9">
        <v>1943.0</v>
      </c>
      <c r="B1944" s="9" t="s">
        <v>5410</v>
      </c>
      <c r="C1944" s="9">
        <v>1939.0</v>
      </c>
      <c r="D1944" s="4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</row>
    <row r="1945">
      <c r="A1945" s="9">
        <v>1944.0</v>
      </c>
      <c r="B1945" s="9" t="s">
        <v>5411</v>
      </c>
      <c r="C1945" s="9">
        <v>1939.0</v>
      </c>
      <c r="D1945" s="4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</row>
    <row r="1946">
      <c r="A1946" s="9">
        <v>1945.0</v>
      </c>
      <c r="B1946" s="9" t="s">
        <v>5412</v>
      </c>
      <c r="C1946" s="9">
        <v>1939.0</v>
      </c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</row>
    <row r="1947">
      <c r="A1947" s="9">
        <v>1946.0</v>
      </c>
      <c r="B1947" s="9" t="s">
        <v>5413</v>
      </c>
      <c r="C1947" s="9">
        <v>1939.0</v>
      </c>
      <c r="D1947" s="4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</row>
    <row r="1948">
      <c r="A1948" s="9">
        <v>1947.0</v>
      </c>
      <c r="B1948" s="9" t="s">
        <v>5414</v>
      </c>
      <c r="C1948" s="9">
        <v>1939.0</v>
      </c>
      <c r="D1948" s="4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</row>
    <row r="1949">
      <c r="A1949" s="9">
        <v>1948.0</v>
      </c>
      <c r="B1949" s="9" t="s">
        <v>5415</v>
      </c>
      <c r="C1949" s="9">
        <v>1939.0</v>
      </c>
      <c r="D1949" s="4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</row>
    <row r="1950">
      <c r="A1950" s="9">
        <v>1949.0</v>
      </c>
      <c r="B1950" s="9" t="s">
        <v>5416</v>
      </c>
      <c r="C1950" s="9">
        <v>1939.0</v>
      </c>
      <c r="D1950" s="4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</row>
    <row r="1951">
      <c r="A1951" s="9">
        <v>1950.0</v>
      </c>
      <c r="B1951" s="9" t="s">
        <v>5417</v>
      </c>
      <c r="C1951" s="9">
        <v>1939.0</v>
      </c>
      <c r="D1951" s="4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</row>
    <row r="1952">
      <c r="A1952" s="9">
        <v>1951.0</v>
      </c>
      <c r="B1952" s="9" t="s">
        <v>5418</v>
      </c>
      <c r="C1952" s="9">
        <v>1939.0</v>
      </c>
      <c r="D1952" s="4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</row>
    <row r="1953">
      <c r="A1953" s="9">
        <v>1952.0</v>
      </c>
      <c r="B1953" s="9" t="s">
        <v>5419</v>
      </c>
      <c r="C1953" s="9">
        <v>1939.0</v>
      </c>
      <c r="D1953" s="4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</row>
    <row r="1954">
      <c r="A1954" s="9">
        <v>1953.0</v>
      </c>
      <c r="B1954" s="9" t="s">
        <v>5420</v>
      </c>
      <c r="C1954" s="9">
        <v>1939.0</v>
      </c>
      <c r="D1954" s="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</row>
    <row r="1955">
      <c r="A1955" s="9">
        <v>1954.0</v>
      </c>
      <c r="B1955" s="9" t="s">
        <v>5421</v>
      </c>
      <c r="C1955" s="9">
        <v>1939.0</v>
      </c>
      <c r="D1955" s="4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</row>
    <row r="1956">
      <c r="A1956" s="9">
        <v>1955.0</v>
      </c>
      <c r="B1956" s="9" t="s">
        <v>5422</v>
      </c>
      <c r="C1956" s="9">
        <v>1939.0</v>
      </c>
      <c r="D1956" s="4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</row>
    <row r="1957">
      <c r="A1957" s="9">
        <v>1956.0</v>
      </c>
      <c r="B1957" s="9" t="s">
        <v>5423</v>
      </c>
      <c r="C1957" s="9">
        <v>1939.0</v>
      </c>
      <c r="D1957" s="4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</row>
    <row r="1958">
      <c r="A1958" s="9">
        <v>1957.0</v>
      </c>
      <c r="B1958" s="9" t="s">
        <v>5424</v>
      </c>
      <c r="C1958" s="4"/>
      <c r="D1958" s="4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</row>
    <row r="1959">
      <c r="A1959" s="9">
        <v>1958.0</v>
      </c>
      <c r="B1959" s="9" t="s">
        <v>5425</v>
      </c>
      <c r="C1959" s="9">
        <v>1957.0</v>
      </c>
      <c r="D1959" s="4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</row>
    <row r="1960">
      <c r="A1960" s="9">
        <v>1959.0</v>
      </c>
      <c r="B1960" s="9" t="s">
        <v>5426</v>
      </c>
      <c r="C1960" s="9">
        <v>1957.0</v>
      </c>
      <c r="D1960" s="4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</row>
    <row r="1961">
      <c r="A1961" s="9">
        <v>1960.0</v>
      </c>
      <c r="B1961" s="9" t="s">
        <v>5427</v>
      </c>
      <c r="C1961" s="9">
        <v>1957.0</v>
      </c>
      <c r="D1961" s="4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</row>
    <row r="1962">
      <c r="A1962" s="9">
        <v>1961.0</v>
      </c>
      <c r="B1962" s="9" t="s">
        <v>5428</v>
      </c>
      <c r="C1962" s="9">
        <v>1957.0</v>
      </c>
      <c r="D1962" s="4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</row>
    <row r="1963">
      <c r="A1963" s="9">
        <v>1962.0</v>
      </c>
      <c r="B1963" s="9" t="s">
        <v>5429</v>
      </c>
      <c r="C1963" s="9">
        <v>1957.0</v>
      </c>
      <c r="D1963" s="4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</row>
    <row r="1964">
      <c r="A1964" s="9">
        <v>1963.0</v>
      </c>
      <c r="B1964" s="9" t="s">
        <v>5430</v>
      </c>
      <c r="C1964" s="9">
        <v>1957.0</v>
      </c>
      <c r="D1964" s="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</row>
    <row r="1965">
      <c r="A1965" s="9">
        <v>1964.0</v>
      </c>
      <c r="B1965" s="9" t="s">
        <v>5431</v>
      </c>
      <c r="C1965" s="9">
        <v>1957.0</v>
      </c>
      <c r="D1965" s="4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</row>
    <row r="1966">
      <c r="A1966" s="9">
        <v>1965.0</v>
      </c>
      <c r="B1966" s="9" t="s">
        <v>5432</v>
      </c>
      <c r="C1966" s="4"/>
      <c r="D1966" s="4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</row>
    <row r="1967">
      <c r="A1967" s="9">
        <v>1966.0</v>
      </c>
      <c r="B1967" s="9" t="s">
        <v>5433</v>
      </c>
      <c r="C1967" s="9">
        <v>1965.0</v>
      </c>
      <c r="D1967" s="4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</row>
    <row r="1968">
      <c r="A1968" s="9">
        <v>1967.0</v>
      </c>
      <c r="B1968" s="9" t="s">
        <v>5434</v>
      </c>
      <c r="C1968" s="9">
        <v>1965.0</v>
      </c>
      <c r="D1968" s="4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</row>
    <row r="1969">
      <c r="A1969" s="9">
        <v>1968.0</v>
      </c>
      <c r="B1969" s="9" t="s">
        <v>5435</v>
      </c>
      <c r="C1969" s="9">
        <v>1965.0</v>
      </c>
      <c r="D1969" s="4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</row>
    <row r="1970">
      <c r="A1970" s="9">
        <v>1969.0</v>
      </c>
      <c r="B1970" s="9" t="s">
        <v>5436</v>
      </c>
      <c r="C1970" s="9">
        <v>1965.0</v>
      </c>
      <c r="D1970" s="4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</row>
    <row r="1971">
      <c r="A1971" s="9">
        <v>1970.0</v>
      </c>
      <c r="B1971" s="9" t="s">
        <v>5437</v>
      </c>
      <c r="C1971" s="4"/>
      <c r="D1971" s="4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</row>
    <row r="1972">
      <c r="A1972" s="9">
        <v>1971.0</v>
      </c>
      <c r="B1972" s="9" t="s">
        <v>5438</v>
      </c>
      <c r="C1972" s="9">
        <v>1970.0</v>
      </c>
      <c r="D1972" s="4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</row>
    <row r="1973">
      <c r="A1973" s="9">
        <v>1972.0</v>
      </c>
      <c r="B1973" s="9" t="s">
        <v>5439</v>
      </c>
      <c r="C1973" s="4"/>
      <c r="D1973" s="4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</row>
    <row r="1974">
      <c r="A1974" s="9">
        <v>1973.0</v>
      </c>
      <c r="B1974" s="9" t="s">
        <v>5440</v>
      </c>
      <c r="C1974" s="9">
        <v>1972.0</v>
      </c>
      <c r="D1974" s="4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</row>
    <row r="1975">
      <c r="A1975" s="9">
        <v>1974.0</v>
      </c>
      <c r="B1975" s="9" t="s">
        <v>5441</v>
      </c>
      <c r="C1975" s="9">
        <v>1972.0</v>
      </c>
      <c r="D1975" s="4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</row>
    <row r="1976">
      <c r="A1976" s="9">
        <v>1975.0</v>
      </c>
      <c r="B1976" s="9" t="s">
        <v>5442</v>
      </c>
      <c r="C1976" s="4"/>
      <c r="D1976" s="4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</row>
    <row r="1977">
      <c r="A1977" s="9">
        <v>1976.0</v>
      </c>
      <c r="B1977" s="9" t="s">
        <v>5443</v>
      </c>
      <c r="C1977" s="9">
        <v>1975.0</v>
      </c>
      <c r="D1977" s="4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</row>
    <row r="1978">
      <c r="A1978" s="9">
        <v>1977.0</v>
      </c>
      <c r="B1978" s="9" t="s">
        <v>5444</v>
      </c>
      <c r="C1978" s="9">
        <v>1975.0</v>
      </c>
      <c r="D1978" s="4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</row>
    <row r="1979">
      <c r="A1979" s="9">
        <v>1978.0</v>
      </c>
      <c r="B1979" s="9" t="s">
        <v>5445</v>
      </c>
      <c r="C1979" s="9">
        <v>1975.0</v>
      </c>
      <c r="D1979" s="4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</row>
    <row r="1980">
      <c r="A1980" s="9">
        <v>1979.0</v>
      </c>
      <c r="B1980" s="9" t="s">
        <v>5446</v>
      </c>
      <c r="C1980" s="9">
        <v>1975.0</v>
      </c>
      <c r="D1980" s="4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</row>
    <row r="1981">
      <c r="A1981" s="9">
        <v>1980.0</v>
      </c>
      <c r="B1981" s="9" t="s">
        <v>5447</v>
      </c>
      <c r="C1981" s="4"/>
      <c r="D1981" s="4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</row>
    <row r="1982">
      <c r="A1982" s="9">
        <v>1981.0</v>
      </c>
      <c r="B1982" s="9" t="s">
        <v>5448</v>
      </c>
      <c r="C1982" s="9">
        <v>1980.0</v>
      </c>
      <c r="D1982" s="4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</row>
    <row r="1983">
      <c r="A1983" s="9">
        <v>1982.0</v>
      </c>
      <c r="B1983" s="9" t="s">
        <v>5449</v>
      </c>
      <c r="C1983" s="9">
        <v>1980.0</v>
      </c>
      <c r="D1983" s="4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</row>
    <row r="1984">
      <c r="A1984" s="9">
        <v>1983.0</v>
      </c>
      <c r="B1984" s="9" t="s">
        <v>5450</v>
      </c>
      <c r="C1984" s="9">
        <v>1980.0</v>
      </c>
      <c r="D1984" s="4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</row>
    <row r="1985">
      <c r="A1985" s="9">
        <v>1984.0</v>
      </c>
      <c r="B1985" s="9" t="s">
        <v>5451</v>
      </c>
      <c r="C1985" s="4"/>
      <c r="D1985" s="4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</row>
    <row r="1986">
      <c r="A1986" s="9">
        <v>1985.0</v>
      </c>
      <c r="B1986" s="9" t="s">
        <v>5452</v>
      </c>
      <c r="C1986" s="9">
        <v>1984.0</v>
      </c>
      <c r="D1986" s="4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</row>
    <row r="1987">
      <c r="A1987" s="9">
        <v>1986.0</v>
      </c>
      <c r="B1987" s="9" t="s">
        <v>5453</v>
      </c>
      <c r="C1987" s="4"/>
      <c r="D1987" s="4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</row>
    <row r="1988">
      <c r="A1988" s="9">
        <v>1987.0</v>
      </c>
      <c r="B1988" s="9" t="s">
        <v>5454</v>
      </c>
      <c r="C1988" s="9">
        <v>1986.0</v>
      </c>
      <c r="D1988" s="4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</row>
    <row r="1989">
      <c r="A1989" s="9">
        <v>1988.0</v>
      </c>
      <c r="B1989" s="9" t="s">
        <v>5455</v>
      </c>
      <c r="C1989" s="4"/>
      <c r="D1989" s="4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</row>
    <row r="1990">
      <c r="A1990" s="9">
        <v>1989.0</v>
      </c>
      <c r="B1990" s="9" t="s">
        <v>5456</v>
      </c>
      <c r="C1990" s="9">
        <v>1988.0</v>
      </c>
      <c r="D1990" s="4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</row>
    <row r="1991">
      <c r="A1991" s="9">
        <v>1990.0</v>
      </c>
      <c r="B1991" s="9" t="s">
        <v>5457</v>
      </c>
      <c r="C1991" s="9">
        <v>1988.0</v>
      </c>
      <c r="D1991" s="4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</row>
    <row r="1992">
      <c r="A1992" s="9">
        <v>1991.0</v>
      </c>
      <c r="B1992" s="9" t="s">
        <v>5458</v>
      </c>
      <c r="C1992" s="9">
        <v>1988.0</v>
      </c>
      <c r="D1992" s="4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</row>
    <row r="1993">
      <c r="A1993" s="9">
        <v>1992.0</v>
      </c>
      <c r="B1993" s="9" t="s">
        <v>5459</v>
      </c>
      <c r="C1993" s="4"/>
      <c r="D1993" s="4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</row>
    <row r="1994">
      <c r="A1994" s="9">
        <v>1993.0</v>
      </c>
      <c r="B1994" s="9" t="s">
        <v>5460</v>
      </c>
      <c r="C1994" s="9">
        <v>1992.0</v>
      </c>
      <c r="D1994" s="4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</row>
    <row r="1995">
      <c r="A1995" s="9">
        <v>1994.0</v>
      </c>
      <c r="B1995" s="9" t="s">
        <v>5461</v>
      </c>
      <c r="C1995" s="9">
        <v>1992.0</v>
      </c>
      <c r="D1995" s="4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</row>
    <row r="1996">
      <c r="A1996" s="9">
        <v>1995.0</v>
      </c>
      <c r="B1996" s="9" t="s">
        <v>5462</v>
      </c>
      <c r="C1996" s="4"/>
      <c r="D1996" s="4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</row>
    <row r="1997">
      <c r="A1997" s="9">
        <v>1996.0</v>
      </c>
      <c r="B1997" s="9" t="s">
        <v>5463</v>
      </c>
      <c r="C1997" s="9">
        <v>1995.0</v>
      </c>
      <c r="D1997" s="4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</row>
    <row r="1998">
      <c r="A1998" s="9">
        <v>1997.0</v>
      </c>
      <c r="B1998" s="9" t="s">
        <v>5464</v>
      </c>
      <c r="C1998" s="9">
        <v>1995.0</v>
      </c>
      <c r="D1998" s="4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</row>
    <row r="1999">
      <c r="A1999" s="9">
        <v>1998.0</v>
      </c>
      <c r="B1999" s="9" t="s">
        <v>5465</v>
      </c>
      <c r="C1999" s="9">
        <v>1995.0</v>
      </c>
      <c r="D1999" s="4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</row>
    <row r="2000">
      <c r="A2000" s="9">
        <v>1999.0</v>
      </c>
      <c r="B2000" s="9" t="s">
        <v>5466</v>
      </c>
      <c r="C2000" s="4"/>
      <c r="D2000" s="4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</row>
    <row r="2001">
      <c r="A2001" s="9">
        <v>2000.0</v>
      </c>
      <c r="B2001" s="9" t="s">
        <v>5467</v>
      </c>
      <c r="C2001" s="9">
        <v>1999.0</v>
      </c>
      <c r="D2001" s="4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</row>
    <row r="2002">
      <c r="A2002" s="9">
        <v>2001.0</v>
      </c>
      <c r="B2002" s="9" t="s">
        <v>5468</v>
      </c>
      <c r="C2002" s="9">
        <v>1999.0</v>
      </c>
      <c r="D2002" s="4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</row>
    <row r="2003">
      <c r="A2003" s="9">
        <v>2002.0</v>
      </c>
      <c r="B2003" s="9" t="s">
        <v>5469</v>
      </c>
      <c r="C2003" s="9">
        <v>1999.0</v>
      </c>
      <c r="D2003" s="4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</row>
    <row r="2004">
      <c r="A2004" s="9">
        <v>2003.0</v>
      </c>
      <c r="B2004" s="9" t="s">
        <v>5470</v>
      </c>
      <c r="C2004" s="9">
        <v>1999.0</v>
      </c>
      <c r="D2004" s="4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</row>
    <row r="2005">
      <c r="A2005" s="9">
        <v>2004.0</v>
      </c>
      <c r="B2005" s="9" t="s">
        <v>5471</v>
      </c>
      <c r="C2005" s="9">
        <v>1999.0</v>
      </c>
      <c r="D2005" s="4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</row>
    <row r="2006">
      <c r="A2006" s="9">
        <v>2005.0</v>
      </c>
      <c r="B2006" s="9" t="s">
        <v>5472</v>
      </c>
      <c r="C2006" s="9">
        <v>1999.0</v>
      </c>
      <c r="D2006" s="4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</row>
    <row r="2007">
      <c r="A2007" s="9">
        <v>2006.0</v>
      </c>
      <c r="B2007" s="9" t="s">
        <v>5473</v>
      </c>
      <c r="C2007" s="4"/>
      <c r="D2007" s="4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</row>
    <row r="2008">
      <c r="A2008" s="9">
        <v>2007.0</v>
      </c>
      <c r="B2008" s="9" t="s">
        <v>5474</v>
      </c>
      <c r="C2008" s="9">
        <v>2006.0</v>
      </c>
      <c r="D2008" s="4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</row>
    <row r="2009">
      <c r="A2009" s="9">
        <v>2008.0</v>
      </c>
      <c r="B2009" s="9" t="s">
        <v>5475</v>
      </c>
      <c r="C2009" s="9">
        <v>2006.0</v>
      </c>
      <c r="D2009" s="4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</row>
    <row r="2010">
      <c r="A2010" s="9">
        <v>2009.0</v>
      </c>
      <c r="B2010" s="9" t="s">
        <v>5476</v>
      </c>
      <c r="C2010" s="4"/>
      <c r="D2010" s="4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</row>
    <row r="2011">
      <c r="A2011" s="9">
        <v>2010.0</v>
      </c>
      <c r="B2011" s="9" t="s">
        <v>5477</v>
      </c>
      <c r="C2011" s="9">
        <v>2009.0</v>
      </c>
      <c r="D2011" s="4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</row>
    <row r="2012">
      <c r="A2012" s="9">
        <v>2011.0</v>
      </c>
      <c r="B2012" s="9" t="s">
        <v>5478</v>
      </c>
      <c r="C2012" s="9">
        <v>2009.0</v>
      </c>
      <c r="D2012" s="4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</row>
    <row r="2013">
      <c r="A2013" s="9">
        <v>2012.0</v>
      </c>
      <c r="B2013" s="9" t="s">
        <v>5479</v>
      </c>
      <c r="C2013" s="9">
        <v>2009.0</v>
      </c>
      <c r="D2013" s="4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</row>
    <row r="2014">
      <c r="A2014" s="9">
        <v>2013.0</v>
      </c>
      <c r="B2014" s="9" t="s">
        <v>5480</v>
      </c>
      <c r="C2014" s="9">
        <v>2009.0</v>
      </c>
      <c r="D2014" s="4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</row>
    <row r="2015">
      <c r="A2015" s="9">
        <v>2014.0</v>
      </c>
      <c r="B2015" s="9" t="s">
        <v>5481</v>
      </c>
      <c r="C2015" s="9">
        <v>2009.0</v>
      </c>
      <c r="D2015" s="4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</row>
    <row r="2016">
      <c r="A2016" s="9">
        <v>2015.0</v>
      </c>
      <c r="B2016" s="9" t="s">
        <v>5482</v>
      </c>
      <c r="C2016" s="9">
        <v>2009.0</v>
      </c>
      <c r="D2016" s="4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</row>
    <row r="2017">
      <c r="A2017" s="9">
        <v>2016.0</v>
      </c>
      <c r="B2017" s="9" t="s">
        <v>5483</v>
      </c>
      <c r="C2017" s="9">
        <v>2009.0</v>
      </c>
      <c r="D2017" s="4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</row>
    <row r="2018">
      <c r="A2018" s="9">
        <v>2017.0</v>
      </c>
      <c r="B2018" s="9" t="s">
        <v>5484</v>
      </c>
      <c r="C2018" s="4"/>
      <c r="D2018" s="4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</row>
    <row r="2019">
      <c r="A2019" s="9">
        <v>2018.0</v>
      </c>
      <c r="B2019" s="9" t="s">
        <v>5485</v>
      </c>
      <c r="C2019" s="9">
        <v>2017.0</v>
      </c>
      <c r="D2019" s="4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</row>
    <row r="2020">
      <c r="A2020" s="9">
        <v>2019.0</v>
      </c>
      <c r="B2020" s="9" t="s">
        <v>5486</v>
      </c>
      <c r="C2020" s="9">
        <v>2017.0</v>
      </c>
      <c r="D2020" s="4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</row>
    <row r="2021">
      <c r="A2021" s="9">
        <v>2020.0</v>
      </c>
      <c r="B2021" s="9" t="s">
        <v>5487</v>
      </c>
      <c r="C2021" s="9">
        <v>2017.0</v>
      </c>
      <c r="D2021" s="4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</row>
    <row r="2022">
      <c r="A2022" s="9">
        <v>2021.0</v>
      </c>
      <c r="B2022" s="9" t="s">
        <v>5488</v>
      </c>
      <c r="C2022" s="4"/>
      <c r="D2022" s="4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</row>
    <row r="2023">
      <c r="A2023" s="9">
        <v>2022.0</v>
      </c>
      <c r="B2023" s="9" t="s">
        <v>5489</v>
      </c>
      <c r="C2023" s="9">
        <v>2021.0</v>
      </c>
      <c r="D2023" s="4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</row>
    <row r="2024">
      <c r="A2024" s="9">
        <v>2023.0</v>
      </c>
      <c r="B2024" s="9" t="s">
        <v>5490</v>
      </c>
      <c r="C2024" s="9">
        <v>2021.0</v>
      </c>
      <c r="D2024" s="4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</row>
    <row r="2025">
      <c r="A2025" s="9">
        <v>2024.0</v>
      </c>
      <c r="B2025" s="9" t="s">
        <v>5491</v>
      </c>
      <c r="C2025" s="9">
        <v>2021.0</v>
      </c>
      <c r="D2025" s="4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</row>
    <row r="2026">
      <c r="A2026" s="9">
        <v>2025.0</v>
      </c>
      <c r="B2026" s="9" t="s">
        <v>5492</v>
      </c>
      <c r="C2026" s="9">
        <v>2021.0</v>
      </c>
      <c r="D2026" s="4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</row>
    <row r="2027">
      <c r="A2027" s="9">
        <v>2026.0</v>
      </c>
      <c r="B2027" s="9" t="s">
        <v>5493</v>
      </c>
      <c r="C2027" s="9">
        <v>2021.0</v>
      </c>
      <c r="D2027" s="4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</row>
    <row r="2028">
      <c r="A2028" s="9">
        <v>2027.0</v>
      </c>
      <c r="B2028" s="9" t="s">
        <v>5494</v>
      </c>
      <c r="C2028" s="9">
        <v>2021.0</v>
      </c>
      <c r="D2028" s="4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</row>
    <row r="2029">
      <c r="A2029" s="9">
        <v>2028.0</v>
      </c>
      <c r="B2029" s="9" t="s">
        <v>5495</v>
      </c>
      <c r="C2029" s="9">
        <v>2021.0</v>
      </c>
      <c r="D2029" s="4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</row>
    <row r="2030">
      <c r="A2030" s="9">
        <v>2029.0</v>
      </c>
      <c r="B2030" s="9" t="s">
        <v>5496</v>
      </c>
      <c r="C2030" s="9">
        <v>2021.0</v>
      </c>
      <c r="D2030" s="4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</row>
    <row r="2031">
      <c r="A2031" s="9">
        <v>2030.0</v>
      </c>
      <c r="B2031" s="9" t="s">
        <v>5497</v>
      </c>
      <c r="C2031" s="9">
        <v>2021.0</v>
      </c>
      <c r="D2031" s="4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</row>
    <row r="2032">
      <c r="A2032" s="9">
        <v>2031.0</v>
      </c>
      <c r="B2032" s="9" t="s">
        <v>5498</v>
      </c>
      <c r="C2032" s="9">
        <v>2021.0</v>
      </c>
      <c r="D2032" s="4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</row>
    <row r="2033">
      <c r="A2033" s="9">
        <v>2032.0</v>
      </c>
      <c r="B2033" s="9" t="s">
        <v>5499</v>
      </c>
      <c r="C2033" s="9">
        <v>2021.0</v>
      </c>
      <c r="D2033" s="4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</row>
    <row r="2034">
      <c r="A2034" s="9">
        <v>2033.0</v>
      </c>
      <c r="B2034" s="9" t="s">
        <v>5500</v>
      </c>
      <c r="C2034" s="9">
        <v>2021.0</v>
      </c>
      <c r="D2034" s="4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</row>
    <row r="2035">
      <c r="A2035" s="9">
        <v>2034.0</v>
      </c>
      <c r="B2035" s="9" t="s">
        <v>5501</v>
      </c>
      <c r="C2035" s="9">
        <v>2021.0</v>
      </c>
      <c r="D2035" s="4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</row>
    <row r="2036">
      <c r="A2036" s="9">
        <v>2035.0</v>
      </c>
      <c r="B2036" s="9" t="s">
        <v>5502</v>
      </c>
      <c r="C2036" s="9">
        <v>2021.0</v>
      </c>
      <c r="D2036" s="4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</row>
    <row r="2037">
      <c r="A2037" s="9">
        <v>2036.0</v>
      </c>
      <c r="B2037" s="9" t="s">
        <v>5503</v>
      </c>
      <c r="C2037" s="9">
        <v>2021.0</v>
      </c>
      <c r="D2037" s="4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</row>
    <row r="2038">
      <c r="A2038" s="9">
        <v>2037.0</v>
      </c>
      <c r="B2038" s="9" t="s">
        <v>5504</v>
      </c>
      <c r="C2038" s="9">
        <v>2021.0</v>
      </c>
      <c r="D2038" s="4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</row>
    <row r="2039">
      <c r="A2039" s="9">
        <v>2038.0</v>
      </c>
      <c r="B2039" s="9" t="s">
        <v>5505</v>
      </c>
      <c r="C2039" s="9">
        <v>2021.0</v>
      </c>
      <c r="D2039" s="4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</row>
    <row r="2040">
      <c r="A2040" s="9">
        <v>2039.0</v>
      </c>
      <c r="B2040" s="9" t="s">
        <v>5506</v>
      </c>
      <c r="C2040" s="9">
        <v>2021.0</v>
      </c>
      <c r="D2040" s="4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</row>
    <row r="2041">
      <c r="A2041" s="9">
        <v>2040.0</v>
      </c>
      <c r="B2041" s="9" t="s">
        <v>5507</v>
      </c>
      <c r="C2041" s="9">
        <v>2021.0</v>
      </c>
      <c r="D2041" s="4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</row>
    <row r="2042">
      <c r="A2042" s="9">
        <v>2041.0</v>
      </c>
      <c r="B2042" s="9" t="s">
        <v>5508</v>
      </c>
      <c r="C2042" s="9">
        <v>2021.0</v>
      </c>
      <c r="D2042" s="4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</row>
    <row r="2043">
      <c r="A2043" s="9">
        <v>2042.0</v>
      </c>
      <c r="B2043" s="9" t="s">
        <v>5509</v>
      </c>
      <c r="C2043" s="9">
        <v>2021.0</v>
      </c>
      <c r="D2043" s="4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</row>
    <row r="2044">
      <c r="A2044" s="9">
        <v>2043.0</v>
      </c>
      <c r="B2044" s="9" t="s">
        <v>5510</v>
      </c>
      <c r="C2044" s="9">
        <v>2021.0</v>
      </c>
      <c r="D2044" s="4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</row>
    <row r="2045">
      <c r="A2045" s="9">
        <v>2044.0</v>
      </c>
      <c r="B2045" s="9" t="s">
        <v>5511</v>
      </c>
      <c r="C2045" s="9">
        <v>2021.0</v>
      </c>
      <c r="D2045" s="4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</row>
    <row r="2046">
      <c r="A2046" s="9">
        <v>2045.0</v>
      </c>
      <c r="B2046" s="9" t="s">
        <v>5512</v>
      </c>
      <c r="C2046" s="9">
        <v>2021.0</v>
      </c>
      <c r="D2046" s="4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</row>
    <row r="2047">
      <c r="A2047" s="9">
        <v>2046.0</v>
      </c>
      <c r="B2047" s="9" t="s">
        <v>5513</v>
      </c>
      <c r="C2047" s="9">
        <v>2021.0</v>
      </c>
      <c r="D2047" s="4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</row>
    <row r="2048">
      <c r="A2048" s="9">
        <v>2047.0</v>
      </c>
      <c r="B2048" s="9" t="s">
        <v>5514</v>
      </c>
      <c r="C2048" s="9">
        <v>2021.0</v>
      </c>
      <c r="D2048" s="4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</row>
    <row r="2049">
      <c r="A2049" s="9">
        <v>2048.0</v>
      </c>
      <c r="B2049" s="9" t="s">
        <v>5515</v>
      </c>
      <c r="C2049" s="4"/>
      <c r="D2049" s="4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</row>
    <row r="2050">
      <c r="A2050" s="9">
        <v>2049.0</v>
      </c>
      <c r="B2050" s="9" t="s">
        <v>5516</v>
      </c>
      <c r="C2050" s="9">
        <v>2048.0</v>
      </c>
      <c r="D2050" s="4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</row>
    <row r="2051">
      <c r="A2051" s="9">
        <v>2050.0</v>
      </c>
      <c r="B2051" s="9" t="s">
        <v>5517</v>
      </c>
      <c r="C2051" s="9">
        <v>2048.0</v>
      </c>
      <c r="D2051" s="4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</row>
    <row r="2052">
      <c r="A2052" s="9">
        <v>2051.0</v>
      </c>
      <c r="B2052" s="9" t="s">
        <v>5518</v>
      </c>
      <c r="C2052" s="9">
        <v>2048.0</v>
      </c>
      <c r="D2052" s="4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</row>
    <row r="2053">
      <c r="A2053" s="9">
        <v>2052.0</v>
      </c>
      <c r="B2053" s="9" t="s">
        <v>5519</v>
      </c>
      <c r="C2053" s="9">
        <v>2048.0</v>
      </c>
      <c r="D2053" s="4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</row>
    <row r="2054">
      <c r="A2054" s="9">
        <v>2053.0</v>
      </c>
      <c r="B2054" s="9" t="s">
        <v>5520</v>
      </c>
      <c r="C2054" s="9">
        <v>2048.0</v>
      </c>
      <c r="D2054" s="4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</row>
    <row r="2055">
      <c r="A2055" s="9">
        <v>2054.0</v>
      </c>
      <c r="B2055" s="9" t="s">
        <v>5521</v>
      </c>
      <c r="C2055" s="9">
        <v>2048.0</v>
      </c>
      <c r="D2055" s="4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</row>
    <row r="2056">
      <c r="A2056" s="9">
        <v>2055.0</v>
      </c>
      <c r="B2056" s="9" t="s">
        <v>5522</v>
      </c>
      <c r="C2056" s="9">
        <v>2048.0</v>
      </c>
      <c r="D2056" s="4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</row>
    <row r="2057">
      <c r="A2057" s="9">
        <v>2056.0</v>
      </c>
      <c r="B2057" s="9" t="s">
        <v>5523</v>
      </c>
      <c r="C2057" s="9">
        <v>2048.0</v>
      </c>
      <c r="D2057" s="4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</row>
    <row r="2058">
      <c r="A2058" s="9">
        <v>2057.0</v>
      </c>
      <c r="B2058" s="9" t="s">
        <v>5524</v>
      </c>
      <c r="C2058" s="4"/>
      <c r="D2058" s="4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</row>
    <row r="2059">
      <c r="A2059" s="9">
        <v>2058.0</v>
      </c>
      <c r="B2059" s="9" t="s">
        <v>5525</v>
      </c>
      <c r="C2059" s="9">
        <v>2057.0</v>
      </c>
      <c r="D2059" s="4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</row>
    <row r="2060">
      <c r="A2060" s="9">
        <v>2059.0</v>
      </c>
      <c r="B2060" s="9" t="s">
        <v>5526</v>
      </c>
      <c r="C2060" s="9">
        <v>2057.0</v>
      </c>
      <c r="D2060" s="4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</row>
    <row r="2061">
      <c r="A2061" s="9">
        <v>2060.0</v>
      </c>
      <c r="B2061" s="9" t="s">
        <v>5527</v>
      </c>
      <c r="C2061" s="9">
        <v>2057.0</v>
      </c>
      <c r="D2061" s="4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</row>
    <row r="2062">
      <c r="A2062" s="9">
        <v>2061.0</v>
      </c>
      <c r="B2062" s="9" t="s">
        <v>5528</v>
      </c>
      <c r="C2062" s="9">
        <v>2057.0</v>
      </c>
      <c r="D2062" s="4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</row>
    <row r="2063">
      <c r="A2063" s="9">
        <v>2062.0</v>
      </c>
      <c r="B2063" s="9" t="s">
        <v>5529</v>
      </c>
      <c r="C2063" s="4"/>
      <c r="D2063" s="4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</row>
    <row r="2064">
      <c r="A2064" s="9">
        <v>2063.0</v>
      </c>
      <c r="B2064" s="9" t="s">
        <v>5530</v>
      </c>
      <c r="C2064" s="9">
        <v>2062.0</v>
      </c>
      <c r="D2064" s="4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</row>
    <row r="2065">
      <c r="A2065" s="9">
        <v>2064.0</v>
      </c>
      <c r="B2065" s="9" t="s">
        <v>5531</v>
      </c>
      <c r="C2065" s="4"/>
      <c r="D2065" s="4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</row>
    <row r="2066">
      <c r="A2066" s="9">
        <v>2065.0</v>
      </c>
      <c r="B2066" s="9" t="s">
        <v>5532</v>
      </c>
      <c r="C2066" s="9">
        <v>2064.0</v>
      </c>
      <c r="D2066" s="4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</row>
    <row r="2067">
      <c r="A2067" s="9">
        <v>2066.0</v>
      </c>
      <c r="B2067" s="9" t="s">
        <v>5533</v>
      </c>
      <c r="C2067" s="9">
        <v>2064.0</v>
      </c>
      <c r="D2067" s="4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</row>
    <row r="2068">
      <c r="A2068" s="9">
        <v>2067.0</v>
      </c>
      <c r="B2068" s="9" t="s">
        <v>5534</v>
      </c>
      <c r="C2068" s="9">
        <v>2064.0</v>
      </c>
      <c r="D2068" s="4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</row>
    <row r="2069">
      <c r="A2069" s="9">
        <v>2068.0</v>
      </c>
      <c r="B2069" s="9" t="s">
        <v>5535</v>
      </c>
      <c r="C2069" s="9">
        <v>2064.0</v>
      </c>
      <c r="D2069" s="4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</row>
    <row r="2070">
      <c r="A2070" s="9">
        <v>2069.0</v>
      </c>
      <c r="B2070" s="9" t="s">
        <v>5536</v>
      </c>
      <c r="C2070" s="4"/>
      <c r="D2070" s="4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</row>
    <row r="2071">
      <c r="A2071" s="9">
        <v>2070.0</v>
      </c>
      <c r="B2071" s="9" t="s">
        <v>5537</v>
      </c>
      <c r="C2071" s="4"/>
      <c r="D2071" s="4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</row>
    <row r="2072">
      <c r="A2072" s="9">
        <v>2071.0</v>
      </c>
      <c r="B2072" s="9" t="s">
        <v>5538</v>
      </c>
      <c r="C2072" s="9">
        <v>2070.0</v>
      </c>
      <c r="D2072" s="4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</row>
    <row r="2073">
      <c r="A2073" s="9">
        <v>2072.0</v>
      </c>
      <c r="B2073" s="9" t="s">
        <v>5539</v>
      </c>
      <c r="C2073" s="9">
        <v>2070.0</v>
      </c>
      <c r="D2073" s="4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</row>
    <row r="2074">
      <c r="A2074" s="9">
        <v>2073.0</v>
      </c>
      <c r="B2074" s="9" t="s">
        <v>5540</v>
      </c>
      <c r="C2074" s="9">
        <v>2070.0</v>
      </c>
      <c r="D2074" s="4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</row>
    <row r="2075">
      <c r="A2075" s="9">
        <v>2074.0</v>
      </c>
      <c r="B2075" s="9" t="s">
        <v>5541</v>
      </c>
      <c r="C2075" s="4"/>
      <c r="D2075" s="4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</row>
    <row r="2076">
      <c r="A2076" s="9">
        <v>2075.0</v>
      </c>
      <c r="B2076" s="9" t="s">
        <v>5542</v>
      </c>
      <c r="C2076" s="9">
        <v>2074.0</v>
      </c>
      <c r="D2076" s="4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</row>
    <row r="2077">
      <c r="A2077" s="9">
        <v>2076.0</v>
      </c>
      <c r="B2077" s="9" t="s">
        <v>5543</v>
      </c>
      <c r="C2077" s="9">
        <v>2074.0</v>
      </c>
      <c r="D2077" s="4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</row>
    <row r="2078">
      <c r="A2078" s="9">
        <v>2077.0</v>
      </c>
      <c r="B2078" s="9" t="s">
        <v>5544</v>
      </c>
      <c r="C2078" s="9">
        <v>2074.0</v>
      </c>
      <c r="D2078" s="4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</row>
    <row r="2079">
      <c r="A2079" s="9">
        <v>2078.0</v>
      </c>
      <c r="B2079" s="9" t="s">
        <v>5545</v>
      </c>
      <c r="C2079" s="9">
        <v>2074.0</v>
      </c>
      <c r="D2079" s="4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</row>
    <row r="2080">
      <c r="A2080" s="9">
        <v>2079.0</v>
      </c>
      <c r="B2080" s="9" t="s">
        <v>5546</v>
      </c>
      <c r="C2080" s="9">
        <v>2074.0</v>
      </c>
      <c r="D2080" s="4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</row>
    <row r="2081">
      <c r="A2081" s="9">
        <v>2080.0</v>
      </c>
      <c r="B2081" s="9" t="s">
        <v>5547</v>
      </c>
      <c r="C2081" s="9">
        <v>2074.0</v>
      </c>
      <c r="D2081" s="4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</row>
    <row r="2082">
      <c r="A2082" s="9">
        <v>2081.0</v>
      </c>
      <c r="B2082" s="9" t="s">
        <v>5548</v>
      </c>
      <c r="C2082" s="9">
        <v>2074.0</v>
      </c>
      <c r="D2082" s="4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</row>
    <row r="2083">
      <c r="A2083" s="9">
        <v>2082.0</v>
      </c>
      <c r="B2083" s="9" t="s">
        <v>5549</v>
      </c>
      <c r="C2083" s="9">
        <v>2074.0</v>
      </c>
      <c r="D2083" s="4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</row>
    <row r="2084">
      <c r="A2084" s="9">
        <v>2083.0</v>
      </c>
      <c r="B2084" s="9" t="s">
        <v>5550</v>
      </c>
      <c r="C2084" s="9">
        <v>2074.0</v>
      </c>
      <c r="D2084" s="4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</row>
    <row r="2085">
      <c r="A2085" s="9">
        <v>2084.0</v>
      </c>
      <c r="B2085" s="9" t="s">
        <v>5551</v>
      </c>
      <c r="C2085" s="9">
        <v>2074.0</v>
      </c>
      <c r="D2085" s="4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</row>
    <row r="2086">
      <c r="A2086" s="9">
        <v>2085.0</v>
      </c>
      <c r="B2086" s="9" t="s">
        <v>5552</v>
      </c>
      <c r="C2086" s="9">
        <v>2074.0</v>
      </c>
      <c r="D2086" s="4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</row>
    <row r="2087">
      <c r="A2087" s="9">
        <v>2086.0</v>
      </c>
      <c r="B2087" s="9" t="s">
        <v>5553</v>
      </c>
      <c r="C2087" s="9">
        <v>2074.0</v>
      </c>
      <c r="D2087" s="4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</row>
    <row r="2088">
      <c r="A2088" s="9">
        <v>2087.0</v>
      </c>
      <c r="B2088" s="9" t="s">
        <v>5554</v>
      </c>
      <c r="C2088" s="9">
        <v>2074.0</v>
      </c>
      <c r="D2088" s="4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</row>
    <row r="2089">
      <c r="A2089" s="9">
        <v>2088.0</v>
      </c>
      <c r="B2089" s="9" t="s">
        <v>5555</v>
      </c>
      <c r="C2089" s="9">
        <v>2074.0</v>
      </c>
      <c r="D2089" s="4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</row>
    <row r="2090">
      <c r="A2090" s="9">
        <v>2089.0</v>
      </c>
      <c r="B2090" s="9" t="s">
        <v>5556</v>
      </c>
      <c r="C2090" s="4"/>
      <c r="D2090" s="4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</row>
    <row r="2091">
      <c r="A2091" s="9">
        <v>2090.0</v>
      </c>
      <c r="B2091" s="9" t="s">
        <v>5557</v>
      </c>
      <c r="C2091" s="9">
        <v>2089.0</v>
      </c>
      <c r="D2091" s="4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</row>
    <row r="2092">
      <c r="A2092" s="9">
        <v>2091.0</v>
      </c>
      <c r="B2092" s="9" t="s">
        <v>5558</v>
      </c>
      <c r="C2092" s="9">
        <v>2089.0</v>
      </c>
      <c r="D2092" s="4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</row>
    <row r="2093">
      <c r="A2093" s="9">
        <v>2092.0</v>
      </c>
      <c r="B2093" s="9" t="s">
        <v>5559</v>
      </c>
      <c r="C2093" s="4"/>
      <c r="D2093" s="4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</row>
    <row r="2094">
      <c r="A2094" s="9">
        <v>2093.0</v>
      </c>
      <c r="B2094" s="9" t="s">
        <v>5560</v>
      </c>
      <c r="C2094" s="9">
        <v>2092.0</v>
      </c>
      <c r="D2094" s="4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</row>
    <row r="2095">
      <c r="A2095" s="9">
        <v>2094.0</v>
      </c>
      <c r="B2095" s="9" t="s">
        <v>5561</v>
      </c>
      <c r="C2095" s="9">
        <v>2092.0</v>
      </c>
      <c r="D2095" s="4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</row>
    <row r="2096">
      <c r="A2096" s="9">
        <v>2095.0</v>
      </c>
      <c r="B2096" s="9" t="s">
        <v>5562</v>
      </c>
      <c r="C2096" s="4"/>
      <c r="D2096" s="4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</row>
    <row r="2097">
      <c r="A2097" s="9">
        <v>2096.0</v>
      </c>
      <c r="B2097" s="9" t="s">
        <v>5563</v>
      </c>
      <c r="C2097" s="9">
        <v>2095.0</v>
      </c>
      <c r="D2097" s="4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</row>
    <row r="2098">
      <c r="A2098" s="9">
        <v>2097.0</v>
      </c>
      <c r="B2098" s="9" t="s">
        <v>5564</v>
      </c>
      <c r="C2098" s="4"/>
      <c r="D2098" s="4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</row>
    <row r="2099">
      <c r="A2099" s="9">
        <v>2098.0</v>
      </c>
      <c r="B2099" s="9" t="s">
        <v>5565</v>
      </c>
      <c r="C2099" s="9">
        <v>2097.0</v>
      </c>
      <c r="D2099" s="4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</row>
    <row r="2100">
      <c r="A2100" s="9">
        <v>2099.0</v>
      </c>
      <c r="B2100" s="9" t="s">
        <v>5566</v>
      </c>
      <c r="C2100" s="9">
        <v>2097.0</v>
      </c>
      <c r="D2100" s="4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</row>
    <row r="2101">
      <c r="A2101" s="9">
        <v>2100.0</v>
      </c>
      <c r="B2101" s="9" t="s">
        <v>5567</v>
      </c>
      <c r="C2101" s="9">
        <v>2097.0</v>
      </c>
      <c r="D2101" s="4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</row>
    <row r="2102">
      <c r="A2102" s="9">
        <v>2101.0</v>
      </c>
      <c r="B2102" s="9" t="s">
        <v>5568</v>
      </c>
      <c r="C2102" s="9">
        <v>2097.0</v>
      </c>
      <c r="D2102" s="4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</row>
    <row r="2103">
      <c r="A2103" s="9">
        <v>2102.0</v>
      </c>
      <c r="B2103" s="9" t="s">
        <v>5569</v>
      </c>
      <c r="C2103" s="4"/>
      <c r="D2103" s="4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</row>
    <row r="2104">
      <c r="A2104" s="9">
        <v>2103.0</v>
      </c>
      <c r="B2104" s="9" t="s">
        <v>5570</v>
      </c>
      <c r="C2104" s="9">
        <v>2102.0</v>
      </c>
      <c r="D2104" s="4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</row>
    <row r="2105">
      <c r="A2105" s="9">
        <v>2104.0</v>
      </c>
      <c r="B2105" s="9" t="s">
        <v>5571</v>
      </c>
      <c r="C2105" s="9">
        <v>2102.0</v>
      </c>
      <c r="D2105" s="4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</row>
    <row r="2106">
      <c r="A2106" s="9">
        <v>2105.0</v>
      </c>
      <c r="B2106" s="9" t="s">
        <v>5572</v>
      </c>
      <c r="C2106" s="9">
        <v>2102.0</v>
      </c>
      <c r="D2106" s="4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</row>
    <row r="2107">
      <c r="A2107" s="9">
        <v>2106.0</v>
      </c>
      <c r="B2107" s="9" t="s">
        <v>5573</v>
      </c>
      <c r="C2107" s="9">
        <v>2102.0</v>
      </c>
      <c r="D2107" s="4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</row>
    <row r="2108">
      <c r="A2108" s="9">
        <v>2107.0</v>
      </c>
      <c r="B2108" s="9" t="s">
        <v>5574</v>
      </c>
      <c r="C2108" s="9">
        <v>2102.0</v>
      </c>
      <c r="D2108" s="4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</row>
    <row r="2109">
      <c r="A2109" s="9">
        <v>2108.0</v>
      </c>
      <c r="B2109" s="9" t="s">
        <v>5575</v>
      </c>
      <c r="C2109" s="9">
        <v>2102.0</v>
      </c>
      <c r="D2109" s="4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</row>
    <row r="2110">
      <c r="A2110" s="9">
        <v>2109.0</v>
      </c>
      <c r="B2110" s="9" t="s">
        <v>5576</v>
      </c>
      <c r="C2110" s="9">
        <v>2102.0</v>
      </c>
      <c r="D2110" s="4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</row>
    <row r="2111">
      <c r="A2111" s="9">
        <v>2110.0</v>
      </c>
      <c r="B2111" s="9" t="s">
        <v>5577</v>
      </c>
      <c r="C2111" s="9">
        <v>2102.0</v>
      </c>
      <c r="D2111" s="4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</row>
    <row r="2112">
      <c r="A2112" s="9">
        <v>2111.0</v>
      </c>
      <c r="B2112" s="9" t="s">
        <v>5578</v>
      </c>
      <c r="C2112" s="9">
        <v>2102.0</v>
      </c>
      <c r="D2112" s="4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</row>
    <row r="2113">
      <c r="A2113" s="9">
        <v>2112.0</v>
      </c>
      <c r="B2113" s="9" t="s">
        <v>5579</v>
      </c>
      <c r="C2113" s="9">
        <v>2102.0</v>
      </c>
      <c r="D2113" s="4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</row>
    <row r="2114">
      <c r="A2114" s="9">
        <v>2113.0</v>
      </c>
      <c r="B2114" s="9" t="s">
        <v>5580</v>
      </c>
      <c r="C2114" s="9">
        <v>2102.0</v>
      </c>
      <c r="D2114" s="4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</row>
    <row r="2115">
      <c r="A2115" s="9">
        <v>2114.0</v>
      </c>
      <c r="B2115" s="9" t="s">
        <v>5581</v>
      </c>
      <c r="C2115" s="9">
        <v>2102.0</v>
      </c>
      <c r="D2115" s="4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</row>
    <row r="2116">
      <c r="A2116" s="9">
        <v>2115.0</v>
      </c>
      <c r="B2116" s="9" t="s">
        <v>5582</v>
      </c>
      <c r="C2116" s="9">
        <v>2102.0</v>
      </c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</row>
    <row r="2117">
      <c r="A2117" s="9">
        <v>2116.0</v>
      </c>
      <c r="B2117" s="9" t="s">
        <v>5583</v>
      </c>
      <c r="C2117" s="9">
        <v>2102.0</v>
      </c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</row>
    <row r="2118">
      <c r="A2118" s="9">
        <v>2117.0</v>
      </c>
      <c r="B2118" s="9" t="s">
        <v>5584</v>
      </c>
      <c r="C2118" s="9">
        <v>2102.0</v>
      </c>
      <c r="D2118" s="4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</row>
    <row r="2119">
      <c r="A2119" s="9">
        <v>2118.0</v>
      </c>
      <c r="B2119" s="9" t="s">
        <v>5585</v>
      </c>
      <c r="C2119" s="9">
        <v>2102.0</v>
      </c>
      <c r="D2119" s="4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</row>
    <row r="2120">
      <c r="A2120" s="9">
        <v>2119.0</v>
      </c>
      <c r="B2120" s="9" t="s">
        <v>5586</v>
      </c>
      <c r="C2120" s="9">
        <v>2102.0</v>
      </c>
      <c r="D2120" s="4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</row>
    <row r="2121">
      <c r="A2121" s="9">
        <v>2120.0</v>
      </c>
      <c r="B2121" s="9" t="s">
        <v>5587</v>
      </c>
      <c r="C2121" s="9">
        <v>2102.0</v>
      </c>
      <c r="D2121" s="4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</row>
    <row r="2122">
      <c r="A2122" s="9">
        <v>2121.0</v>
      </c>
      <c r="B2122" s="9" t="s">
        <v>5588</v>
      </c>
      <c r="C2122" s="9">
        <v>2102.0</v>
      </c>
      <c r="D2122" s="4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</row>
    <row r="2123">
      <c r="A2123" s="9">
        <v>2122.0</v>
      </c>
      <c r="B2123" s="9" t="s">
        <v>5589</v>
      </c>
      <c r="C2123" s="9">
        <v>2102.0</v>
      </c>
      <c r="D2123" s="4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</row>
    <row r="2124">
      <c r="A2124" s="9">
        <v>2123.0</v>
      </c>
      <c r="B2124" s="9" t="s">
        <v>5590</v>
      </c>
      <c r="C2124" s="9">
        <v>2102.0</v>
      </c>
      <c r="D2124" s="4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</row>
    <row r="2125">
      <c r="A2125" s="9">
        <v>2124.0</v>
      </c>
      <c r="B2125" s="9" t="s">
        <v>5591</v>
      </c>
      <c r="C2125" s="9">
        <v>2102.0</v>
      </c>
      <c r="D2125" s="4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</row>
    <row r="2126">
      <c r="A2126" s="9">
        <v>2125.0</v>
      </c>
      <c r="B2126" s="9" t="s">
        <v>5592</v>
      </c>
      <c r="C2126" s="9">
        <v>2102.0</v>
      </c>
      <c r="D2126" s="4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</row>
    <row r="2127">
      <c r="A2127" s="9">
        <v>2126.0</v>
      </c>
      <c r="B2127" s="9" t="s">
        <v>5593</v>
      </c>
      <c r="C2127" s="9">
        <v>2102.0</v>
      </c>
      <c r="D2127" s="4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</row>
    <row r="2128">
      <c r="A2128" s="9">
        <v>2127.0</v>
      </c>
      <c r="B2128" s="9" t="s">
        <v>5594</v>
      </c>
      <c r="C2128" s="9">
        <v>2102.0</v>
      </c>
      <c r="D2128" s="4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</row>
    <row r="2129">
      <c r="A2129" s="9">
        <v>2128.0</v>
      </c>
      <c r="B2129" s="9" t="s">
        <v>5595</v>
      </c>
      <c r="C2129" s="9">
        <v>2102.0</v>
      </c>
      <c r="D2129" s="4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</row>
    <row r="2130">
      <c r="A2130" s="9">
        <v>2129.0</v>
      </c>
      <c r="B2130" s="9" t="s">
        <v>5596</v>
      </c>
      <c r="C2130" s="9">
        <v>2102.0</v>
      </c>
      <c r="D2130" s="4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</row>
    <row r="2131">
      <c r="A2131" s="9">
        <v>2130.0</v>
      </c>
      <c r="B2131" s="9" t="s">
        <v>5597</v>
      </c>
      <c r="C2131" s="9">
        <v>2102.0</v>
      </c>
      <c r="D2131" s="4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</row>
    <row r="2132">
      <c r="A2132" s="9">
        <v>2131.0</v>
      </c>
      <c r="B2132" s="9" t="s">
        <v>5598</v>
      </c>
      <c r="C2132" s="4"/>
      <c r="D2132" s="4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</row>
    <row r="2133">
      <c r="A2133" s="9">
        <v>2132.0</v>
      </c>
      <c r="B2133" s="9" t="s">
        <v>5599</v>
      </c>
      <c r="C2133" s="9">
        <v>2131.0</v>
      </c>
      <c r="D2133" s="4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</row>
    <row r="2134">
      <c r="A2134" s="9">
        <v>2133.0</v>
      </c>
      <c r="B2134" s="9" t="s">
        <v>5600</v>
      </c>
      <c r="C2134" s="4"/>
      <c r="D2134" s="4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</row>
    <row r="2135">
      <c r="A2135" s="9">
        <v>2134.0</v>
      </c>
      <c r="B2135" s="9" t="s">
        <v>5601</v>
      </c>
      <c r="C2135" s="9">
        <v>2133.0</v>
      </c>
      <c r="D2135" s="4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</row>
    <row r="2136">
      <c r="A2136" s="9">
        <v>2135.0</v>
      </c>
      <c r="B2136" s="9" t="s">
        <v>5602</v>
      </c>
      <c r="C2136" s="9">
        <v>2133.0</v>
      </c>
      <c r="D2136" s="4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</row>
    <row r="2137">
      <c r="A2137" s="9">
        <v>2136.0</v>
      </c>
      <c r="B2137" s="9" t="s">
        <v>5603</v>
      </c>
      <c r="C2137" s="9">
        <v>2133.0</v>
      </c>
      <c r="D2137" s="4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</row>
    <row r="2138">
      <c r="A2138" s="9">
        <v>2137.0</v>
      </c>
      <c r="B2138" s="9" t="s">
        <v>5604</v>
      </c>
      <c r="C2138" s="9">
        <v>2133.0</v>
      </c>
      <c r="D2138" s="4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</row>
    <row r="2139">
      <c r="A2139" s="9">
        <v>2138.0</v>
      </c>
      <c r="B2139" s="9" t="s">
        <v>5605</v>
      </c>
      <c r="C2139" s="9">
        <v>2133.0</v>
      </c>
      <c r="D2139" s="4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</row>
    <row r="2140">
      <c r="A2140" s="9">
        <v>2139.0</v>
      </c>
      <c r="B2140" s="9" t="s">
        <v>5606</v>
      </c>
      <c r="C2140" s="4"/>
      <c r="D2140" s="4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</row>
    <row r="2141">
      <c r="A2141" s="9">
        <v>2140.0</v>
      </c>
      <c r="B2141" s="9" t="s">
        <v>5607</v>
      </c>
      <c r="C2141" s="9">
        <v>2139.0</v>
      </c>
      <c r="D2141" s="4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</row>
    <row r="2142">
      <c r="A2142" s="9">
        <v>2141.0</v>
      </c>
      <c r="B2142" s="9" t="s">
        <v>5608</v>
      </c>
      <c r="C2142" s="4"/>
      <c r="D2142" s="4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</row>
    <row r="2143">
      <c r="A2143" s="9">
        <v>2142.0</v>
      </c>
      <c r="B2143" s="9" t="s">
        <v>5609</v>
      </c>
      <c r="C2143" s="9">
        <v>2141.0</v>
      </c>
      <c r="D2143" s="4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</row>
    <row r="2144">
      <c r="A2144" s="9">
        <v>2143.0</v>
      </c>
      <c r="B2144" s="9" t="s">
        <v>5610</v>
      </c>
      <c r="C2144" s="9">
        <v>2141.0</v>
      </c>
      <c r="D2144" s="4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</row>
    <row r="2145">
      <c r="A2145" s="9">
        <v>2144.0</v>
      </c>
      <c r="B2145" s="9" t="s">
        <v>5611</v>
      </c>
      <c r="C2145" s="9">
        <v>2141.0</v>
      </c>
      <c r="D2145" s="4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</row>
    <row r="2146">
      <c r="A2146" s="9">
        <v>2145.0</v>
      </c>
      <c r="B2146" s="9" t="s">
        <v>5612</v>
      </c>
      <c r="C2146" s="9">
        <v>2141.0</v>
      </c>
      <c r="D2146" s="4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</row>
    <row r="2147">
      <c r="A2147" s="9">
        <v>2146.0</v>
      </c>
      <c r="B2147" s="9" t="s">
        <v>5613</v>
      </c>
      <c r="C2147" s="9">
        <v>2141.0</v>
      </c>
      <c r="D2147" s="4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</row>
    <row r="2148">
      <c r="A2148" s="9">
        <v>2147.0</v>
      </c>
      <c r="B2148" s="9" t="s">
        <v>5614</v>
      </c>
      <c r="C2148" s="9">
        <v>2141.0</v>
      </c>
      <c r="D2148" s="4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</row>
    <row r="2149">
      <c r="A2149" s="9">
        <v>2148.0</v>
      </c>
      <c r="B2149" s="9" t="s">
        <v>5615</v>
      </c>
      <c r="C2149" s="9">
        <v>2141.0</v>
      </c>
      <c r="D2149" s="4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</row>
    <row r="2150">
      <c r="A2150" s="9">
        <v>2149.0</v>
      </c>
      <c r="B2150" s="9" t="s">
        <v>5616</v>
      </c>
      <c r="C2150" s="9">
        <v>2141.0</v>
      </c>
      <c r="D2150" s="4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</row>
    <row r="2151">
      <c r="A2151" s="9">
        <v>2150.0</v>
      </c>
      <c r="B2151" s="9" t="s">
        <v>5617</v>
      </c>
      <c r="C2151" s="4"/>
      <c r="D2151" s="4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</row>
    <row r="2152">
      <c r="A2152" s="9">
        <v>2151.0</v>
      </c>
      <c r="B2152" s="9" t="s">
        <v>5618</v>
      </c>
      <c r="C2152" s="9">
        <v>2150.0</v>
      </c>
      <c r="D2152" s="4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</row>
    <row r="2153">
      <c r="A2153" s="9">
        <v>2152.0</v>
      </c>
      <c r="B2153" s="9" t="s">
        <v>5619</v>
      </c>
      <c r="C2153" s="9">
        <v>2150.0</v>
      </c>
      <c r="D2153" s="4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</row>
    <row r="2154">
      <c r="A2154" s="9">
        <v>2153.0</v>
      </c>
      <c r="B2154" s="9" t="s">
        <v>5620</v>
      </c>
      <c r="C2154" s="4"/>
      <c r="D2154" s="4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</row>
    <row r="2155">
      <c r="A2155" s="9">
        <v>2154.0</v>
      </c>
      <c r="B2155" s="9" t="s">
        <v>5621</v>
      </c>
      <c r="C2155" s="9">
        <v>2153.0</v>
      </c>
      <c r="D2155" s="4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</row>
    <row r="2156">
      <c r="A2156" s="9">
        <v>2155.0</v>
      </c>
      <c r="B2156" s="9" t="s">
        <v>5622</v>
      </c>
      <c r="C2156" s="9">
        <v>2153.0</v>
      </c>
      <c r="D2156" s="4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</row>
    <row r="2157">
      <c r="A2157" s="9">
        <v>2156.0</v>
      </c>
      <c r="B2157" s="9" t="s">
        <v>5623</v>
      </c>
      <c r="C2157" s="9">
        <v>2153.0</v>
      </c>
      <c r="D2157" s="4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</row>
    <row r="2158">
      <c r="A2158" s="9">
        <v>2157.0</v>
      </c>
      <c r="B2158" s="9" t="s">
        <v>5624</v>
      </c>
      <c r="C2158" s="9">
        <v>2153.0</v>
      </c>
      <c r="D2158" s="4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</row>
    <row r="2159">
      <c r="A2159" s="9">
        <v>2158.0</v>
      </c>
      <c r="B2159" s="9" t="s">
        <v>5625</v>
      </c>
      <c r="C2159" s="9">
        <v>2153.0</v>
      </c>
      <c r="D2159" s="4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</row>
    <row r="2160">
      <c r="A2160" s="9">
        <v>2159.0</v>
      </c>
      <c r="B2160" s="9" t="s">
        <v>5626</v>
      </c>
      <c r="C2160" s="9">
        <v>2153.0</v>
      </c>
      <c r="D2160" s="4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</row>
    <row r="2161">
      <c r="A2161" s="9">
        <v>2160.0</v>
      </c>
      <c r="B2161" s="9" t="s">
        <v>5627</v>
      </c>
      <c r="C2161" s="9">
        <v>2153.0</v>
      </c>
      <c r="D2161" s="4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</row>
    <row r="2162">
      <c r="A2162" s="9">
        <v>2161.0</v>
      </c>
      <c r="B2162" s="9" t="s">
        <v>5628</v>
      </c>
      <c r="C2162" s="4"/>
      <c r="D2162" s="4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</row>
    <row r="2163">
      <c r="A2163" s="9">
        <v>2162.0</v>
      </c>
      <c r="B2163" s="9" t="s">
        <v>5629</v>
      </c>
      <c r="C2163" s="4"/>
      <c r="D2163" s="4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</row>
    <row r="2164">
      <c r="A2164" s="9">
        <v>2163.0</v>
      </c>
      <c r="B2164" s="9" t="s">
        <v>5630</v>
      </c>
      <c r="C2164" s="9">
        <v>2162.0</v>
      </c>
      <c r="D2164" s="4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</row>
    <row r="2165">
      <c r="A2165" s="9">
        <v>2164.0</v>
      </c>
      <c r="B2165" s="9" t="s">
        <v>5631</v>
      </c>
      <c r="C2165" s="9">
        <v>2162.0</v>
      </c>
      <c r="D2165" s="4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</row>
    <row r="2166">
      <c r="A2166" s="9">
        <v>2165.0</v>
      </c>
      <c r="B2166" s="9" t="s">
        <v>5632</v>
      </c>
      <c r="C2166" s="9">
        <v>2162.0</v>
      </c>
      <c r="D2166" s="4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</row>
    <row r="2167">
      <c r="A2167" s="9">
        <v>2166.0</v>
      </c>
      <c r="B2167" s="9" t="s">
        <v>5633</v>
      </c>
      <c r="C2167" s="9">
        <v>2162.0</v>
      </c>
      <c r="D2167" s="4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</row>
    <row r="2168">
      <c r="A2168" s="9">
        <v>2167.0</v>
      </c>
      <c r="B2168" s="9" t="s">
        <v>5634</v>
      </c>
      <c r="C2168" s="9">
        <v>2162.0</v>
      </c>
      <c r="D2168" s="4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</row>
    <row r="2169">
      <c r="A2169" s="9">
        <v>2168.0</v>
      </c>
      <c r="B2169" s="9" t="s">
        <v>5635</v>
      </c>
      <c r="C2169" s="9">
        <v>2162.0</v>
      </c>
      <c r="D2169" s="4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</row>
    <row r="2170">
      <c r="A2170" s="9">
        <v>2169.0</v>
      </c>
      <c r="B2170" s="9" t="s">
        <v>5636</v>
      </c>
      <c r="C2170" s="9">
        <v>2162.0</v>
      </c>
      <c r="D2170" s="4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</row>
    <row r="2171">
      <c r="A2171" s="9">
        <v>2170.0</v>
      </c>
      <c r="B2171" s="9" t="s">
        <v>5637</v>
      </c>
      <c r="C2171" s="9">
        <v>2162.0</v>
      </c>
      <c r="D2171" s="4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</row>
    <row r="2172">
      <c r="A2172" s="9">
        <v>2171.0</v>
      </c>
      <c r="B2172" s="9" t="s">
        <v>5638</v>
      </c>
      <c r="C2172" s="9">
        <v>2162.0</v>
      </c>
      <c r="D2172" s="4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</row>
    <row r="2173">
      <c r="A2173" s="9">
        <v>2172.0</v>
      </c>
      <c r="B2173" s="9" t="s">
        <v>5639</v>
      </c>
      <c r="C2173" s="9">
        <v>2162.0</v>
      </c>
      <c r="D2173" s="4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</row>
    <row r="2174">
      <c r="A2174" s="9">
        <v>2173.0</v>
      </c>
      <c r="B2174" s="9" t="s">
        <v>5640</v>
      </c>
      <c r="C2174" s="9">
        <v>2162.0</v>
      </c>
      <c r="D2174" s="4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</row>
    <row r="2175">
      <c r="A2175" s="9">
        <v>2174.0</v>
      </c>
      <c r="B2175" s="9" t="s">
        <v>5641</v>
      </c>
      <c r="C2175" s="9">
        <v>2162.0</v>
      </c>
      <c r="D2175" s="4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</row>
    <row r="2176">
      <c r="A2176" s="9">
        <v>2175.0</v>
      </c>
      <c r="B2176" s="9" t="s">
        <v>5642</v>
      </c>
      <c r="C2176" s="9">
        <v>2162.0</v>
      </c>
      <c r="D2176" s="4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</row>
    <row r="2177">
      <c r="A2177" s="9">
        <v>2176.0</v>
      </c>
      <c r="B2177" s="9" t="s">
        <v>5643</v>
      </c>
      <c r="C2177" s="9">
        <v>2162.0</v>
      </c>
      <c r="D2177" s="4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</row>
    <row r="2178">
      <c r="A2178" s="9">
        <v>2177.0</v>
      </c>
      <c r="B2178" s="9" t="s">
        <v>5644</v>
      </c>
      <c r="C2178" s="9">
        <v>2162.0</v>
      </c>
      <c r="D2178" s="4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</row>
    <row r="2179">
      <c r="A2179" s="9">
        <v>2178.0</v>
      </c>
      <c r="B2179" s="9" t="s">
        <v>5645</v>
      </c>
      <c r="C2179" s="9">
        <v>2162.0</v>
      </c>
      <c r="D2179" s="4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</row>
    <row r="2180">
      <c r="A2180" s="9">
        <v>2179.0</v>
      </c>
      <c r="B2180" s="9" t="s">
        <v>5646</v>
      </c>
      <c r="C2180" s="9">
        <v>2162.0</v>
      </c>
      <c r="D2180" s="4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</row>
    <row r="2181">
      <c r="A2181" s="9">
        <v>2180.0</v>
      </c>
      <c r="B2181" s="9" t="s">
        <v>5647</v>
      </c>
      <c r="C2181" s="9">
        <v>2162.0</v>
      </c>
      <c r="D2181" s="4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</row>
    <row r="2182">
      <c r="A2182" s="9">
        <v>2181.0</v>
      </c>
      <c r="B2182" s="9" t="s">
        <v>5648</v>
      </c>
      <c r="C2182" s="9">
        <v>2162.0</v>
      </c>
      <c r="D2182" s="4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</row>
    <row r="2183">
      <c r="A2183" s="9">
        <v>2182.0</v>
      </c>
      <c r="B2183" s="9" t="s">
        <v>5649</v>
      </c>
      <c r="C2183" s="9">
        <v>2162.0</v>
      </c>
      <c r="D2183" s="4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</row>
    <row r="2184">
      <c r="A2184" s="9">
        <v>2183.0</v>
      </c>
      <c r="B2184" s="9" t="s">
        <v>5650</v>
      </c>
      <c r="C2184" s="9">
        <v>2162.0</v>
      </c>
      <c r="D2184" s="4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</row>
    <row r="2185">
      <c r="A2185" s="9">
        <v>2184.0</v>
      </c>
      <c r="B2185" s="9" t="s">
        <v>5651</v>
      </c>
      <c r="C2185" s="9">
        <v>2162.0</v>
      </c>
      <c r="D2185" s="4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</row>
    <row r="2186">
      <c r="A2186" s="9">
        <v>2185.0</v>
      </c>
      <c r="B2186" s="9" t="s">
        <v>5652</v>
      </c>
      <c r="C2186" s="9">
        <v>2162.0</v>
      </c>
      <c r="D2186" s="4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</row>
    <row r="2187">
      <c r="A2187" s="9">
        <v>2186.0</v>
      </c>
      <c r="B2187" s="9" t="s">
        <v>5653</v>
      </c>
      <c r="C2187" s="9">
        <v>2162.0</v>
      </c>
      <c r="D2187" s="4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</row>
    <row r="2188">
      <c r="A2188" s="9">
        <v>2187.0</v>
      </c>
      <c r="B2188" s="9" t="s">
        <v>5654</v>
      </c>
      <c r="C2188" s="9">
        <v>2162.0</v>
      </c>
      <c r="D2188" s="4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</row>
    <row r="2189">
      <c r="A2189" s="9">
        <v>2188.0</v>
      </c>
      <c r="B2189" s="9" t="s">
        <v>5655</v>
      </c>
      <c r="C2189" s="9">
        <v>2162.0</v>
      </c>
      <c r="D2189" s="4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</row>
    <row r="2190">
      <c r="A2190" s="9">
        <v>2189.0</v>
      </c>
      <c r="B2190" s="9" t="s">
        <v>5656</v>
      </c>
      <c r="C2190" s="9">
        <v>2162.0</v>
      </c>
      <c r="D2190" s="4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</row>
    <row r="2191">
      <c r="A2191" s="9">
        <v>2190.0</v>
      </c>
      <c r="B2191" s="9" t="s">
        <v>5657</v>
      </c>
      <c r="C2191" s="9">
        <v>2162.0</v>
      </c>
      <c r="D2191" s="4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</row>
    <row r="2192">
      <c r="A2192" s="9">
        <v>2191.0</v>
      </c>
      <c r="B2192" s="9" t="s">
        <v>5658</v>
      </c>
      <c r="C2192" s="9">
        <v>2162.0</v>
      </c>
      <c r="D2192" s="4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</row>
    <row r="2193">
      <c r="A2193" s="9">
        <v>2192.0</v>
      </c>
      <c r="B2193" s="9" t="s">
        <v>5659</v>
      </c>
      <c r="C2193" s="9">
        <v>2162.0</v>
      </c>
      <c r="D2193" s="4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</row>
    <row r="2194">
      <c r="A2194" s="9">
        <v>2193.0</v>
      </c>
      <c r="B2194" s="9" t="s">
        <v>5660</v>
      </c>
      <c r="C2194" s="9">
        <v>2162.0</v>
      </c>
      <c r="D2194" s="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</row>
    <row r="2195">
      <c r="A2195" s="9">
        <v>2194.0</v>
      </c>
      <c r="B2195" s="9" t="s">
        <v>5661</v>
      </c>
      <c r="C2195" s="9">
        <v>2162.0</v>
      </c>
      <c r="D2195" s="4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</row>
    <row r="2196">
      <c r="A2196" s="9">
        <v>2195.0</v>
      </c>
      <c r="B2196" s="9" t="s">
        <v>5662</v>
      </c>
      <c r="C2196" s="9">
        <v>2162.0</v>
      </c>
      <c r="D2196" s="4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</row>
    <row r="2197">
      <c r="A2197" s="9">
        <v>2196.0</v>
      </c>
      <c r="B2197" s="9" t="s">
        <v>5663</v>
      </c>
      <c r="C2197" s="9">
        <v>2162.0</v>
      </c>
      <c r="D2197" s="4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</row>
    <row r="2198">
      <c r="A2198" s="9">
        <v>2197.0</v>
      </c>
      <c r="B2198" s="9" t="s">
        <v>5664</v>
      </c>
      <c r="C2198" s="9">
        <v>2162.0</v>
      </c>
      <c r="D2198" s="4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</row>
    <row r="2199">
      <c r="A2199" s="9">
        <v>2198.0</v>
      </c>
      <c r="B2199" s="9" t="s">
        <v>5665</v>
      </c>
      <c r="C2199" s="9">
        <v>2162.0</v>
      </c>
      <c r="D2199" s="4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</row>
    <row r="2200">
      <c r="A2200" s="9">
        <v>2199.0</v>
      </c>
      <c r="B2200" s="9" t="s">
        <v>5666</v>
      </c>
      <c r="C2200" s="9">
        <v>2162.0</v>
      </c>
      <c r="D2200" s="4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</row>
    <row r="2201">
      <c r="A2201" s="9">
        <v>2200.0</v>
      </c>
      <c r="B2201" s="9" t="s">
        <v>5667</v>
      </c>
      <c r="C2201" s="9">
        <v>2162.0</v>
      </c>
      <c r="D2201" s="4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</row>
    <row r="2202">
      <c r="A2202" s="9">
        <v>2201.0</v>
      </c>
      <c r="B2202" s="9" t="s">
        <v>5668</v>
      </c>
      <c r="C2202" s="9">
        <v>2162.0</v>
      </c>
      <c r="D2202" s="4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</row>
    <row r="2203">
      <c r="A2203" s="9">
        <v>2202.0</v>
      </c>
      <c r="B2203" s="9" t="s">
        <v>5669</v>
      </c>
      <c r="C2203" s="9">
        <v>2162.0</v>
      </c>
      <c r="D2203" s="4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</row>
    <row r="2204">
      <c r="A2204" s="9">
        <v>2203.0</v>
      </c>
      <c r="B2204" s="9" t="s">
        <v>5670</v>
      </c>
      <c r="C2204" s="9">
        <v>2162.0</v>
      </c>
      <c r="D2204" s="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</row>
    <row r="2205">
      <c r="A2205" s="9">
        <v>2204.0</v>
      </c>
      <c r="B2205" s="9" t="s">
        <v>5671</v>
      </c>
      <c r="C2205" s="9">
        <v>2162.0</v>
      </c>
      <c r="D2205" s="4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</row>
    <row r="2206">
      <c r="A2206" s="9">
        <v>2205.0</v>
      </c>
      <c r="B2206" s="9" t="s">
        <v>5672</v>
      </c>
      <c r="C2206" s="9">
        <v>2162.0</v>
      </c>
      <c r="D2206" s="4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</row>
    <row r="2207">
      <c r="A2207" s="9">
        <v>2206.0</v>
      </c>
      <c r="B2207" s="9" t="s">
        <v>5673</v>
      </c>
      <c r="C2207" s="9">
        <v>2162.0</v>
      </c>
      <c r="D2207" s="4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</row>
    <row r="2208">
      <c r="A2208" s="9">
        <v>2207.0</v>
      </c>
      <c r="B2208" s="9" t="s">
        <v>5674</v>
      </c>
      <c r="C2208" s="9">
        <v>2162.0</v>
      </c>
      <c r="D2208" s="4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</row>
    <row r="2209">
      <c r="A2209" s="9">
        <v>2208.0</v>
      </c>
      <c r="B2209" s="9" t="s">
        <v>5675</v>
      </c>
      <c r="C2209" s="9">
        <v>2162.0</v>
      </c>
      <c r="D2209" s="4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</row>
    <row r="2210">
      <c r="A2210" s="9">
        <v>2209.0</v>
      </c>
      <c r="B2210" s="9" t="s">
        <v>5676</v>
      </c>
      <c r="C2210" s="9">
        <v>2162.0</v>
      </c>
      <c r="D2210" s="4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</row>
    <row r="2211">
      <c r="A2211" s="9">
        <v>2210.0</v>
      </c>
      <c r="B2211" s="9" t="s">
        <v>5677</v>
      </c>
      <c r="C2211" s="9">
        <v>2162.0</v>
      </c>
      <c r="D2211" s="4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</row>
    <row r="2212">
      <c r="A2212" s="9">
        <v>2211.0</v>
      </c>
      <c r="B2212" s="9" t="s">
        <v>5678</v>
      </c>
      <c r="C2212" s="9">
        <v>2162.0</v>
      </c>
      <c r="D2212" s="4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</row>
    <row r="2213">
      <c r="A2213" s="9">
        <v>2212.0</v>
      </c>
      <c r="B2213" s="9" t="s">
        <v>5679</v>
      </c>
      <c r="C2213" s="9">
        <v>2162.0</v>
      </c>
      <c r="D2213" s="4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</row>
    <row r="2214">
      <c r="A2214" s="9">
        <v>2213.0</v>
      </c>
      <c r="B2214" s="9" t="s">
        <v>5680</v>
      </c>
      <c r="C2214" s="9">
        <v>2162.0</v>
      </c>
      <c r="D2214" s="4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</row>
    <row r="2215">
      <c r="A2215" s="9">
        <v>2214.0</v>
      </c>
      <c r="B2215" s="9" t="s">
        <v>5681</v>
      </c>
      <c r="C2215" s="9">
        <v>2162.0</v>
      </c>
      <c r="D2215" s="4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</row>
    <row r="2216">
      <c r="A2216" s="9">
        <v>2215.0</v>
      </c>
      <c r="B2216" s="9" t="s">
        <v>5682</v>
      </c>
      <c r="C2216" s="9">
        <v>2162.0</v>
      </c>
      <c r="D2216" s="4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</row>
    <row r="2217">
      <c r="A2217" s="9">
        <v>2216.0</v>
      </c>
      <c r="B2217" s="9" t="s">
        <v>5683</v>
      </c>
      <c r="C2217" s="9">
        <v>2162.0</v>
      </c>
      <c r="D2217" s="4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</row>
    <row r="2218">
      <c r="A2218" s="9">
        <v>2217.0</v>
      </c>
      <c r="B2218" s="9" t="s">
        <v>5684</v>
      </c>
      <c r="C2218" s="9">
        <v>2162.0</v>
      </c>
      <c r="D2218" s="4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</row>
    <row r="2219">
      <c r="A2219" s="9">
        <v>2218.0</v>
      </c>
      <c r="B2219" s="9" t="s">
        <v>5685</v>
      </c>
      <c r="C2219" s="9">
        <v>2162.0</v>
      </c>
      <c r="D2219" s="4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</row>
    <row r="2220">
      <c r="A2220" s="9">
        <v>2219.0</v>
      </c>
      <c r="B2220" s="9" t="s">
        <v>5686</v>
      </c>
      <c r="C2220" s="9">
        <v>2162.0</v>
      </c>
      <c r="D2220" s="4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</row>
    <row r="2221">
      <c r="A2221" s="9">
        <v>2220.0</v>
      </c>
      <c r="B2221" s="9" t="s">
        <v>5687</v>
      </c>
      <c r="C2221" s="9">
        <v>2162.0</v>
      </c>
      <c r="D2221" s="4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</row>
    <row r="2222">
      <c r="A2222" s="9">
        <v>2221.0</v>
      </c>
      <c r="B2222" s="9" t="s">
        <v>5688</v>
      </c>
      <c r="C2222" s="9">
        <v>2162.0</v>
      </c>
      <c r="D2222" s="4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</row>
    <row r="2223">
      <c r="A2223" s="9">
        <v>2222.0</v>
      </c>
      <c r="B2223" s="9" t="s">
        <v>5689</v>
      </c>
      <c r="C2223" s="9">
        <v>2162.0</v>
      </c>
      <c r="D2223" s="4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</row>
    <row r="2224">
      <c r="A2224" s="9">
        <v>2223.0</v>
      </c>
      <c r="B2224" s="9" t="s">
        <v>5690</v>
      </c>
      <c r="C2224" s="9">
        <v>2162.0</v>
      </c>
      <c r="D2224" s="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</row>
    <row r="2225">
      <c r="A2225" s="9">
        <v>2224.0</v>
      </c>
      <c r="B2225" s="9" t="s">
        <v>5691</v>
      </c>
      <c r="C2225" s="9">
        <v>2162.0</v>
      </c>
      <c r="D2225" s="4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</row>
    <row r="2226">
      <c r="A2226" s="9">
        <v>2225.0</v>
      </c>
      <c r="B2226" s="9" t="s">
        <v>5692</v>
      </c>
      <c r="C2226" s="9">
        <v>2162.0</v>
      </c>
      <c r="D2226" s="4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</row>
    <row r="2227">
      <c r="A2227" s="9">
        <v>2226.0</v>
      </c>
      <c r="B2227" s="9" t="s">
        <v>5693</v>
      </c>
      <c r="C2227" s="9">
        <v>2162.0</v>
      </c>
      <c r="D2227" s="4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</row>
    <row r="2228">
      <c r="A2228" s="9">
        <v>2227.0</v>
      </c>
      <c r="B2228" s="9" t="s">
        <v>5694</v>
      </c>
      <c r="C2228" s="9">
        <v>2162.0</v>
      </c>
      <c r="D2228" s="4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</row>
    <row r="2229">
      <c r="A2229" s="9">
        <v>2228.0</v>
      </c>
      <c r="B2229" s="9" t="s">
        <v>5695</v>
      </c>
      <c r="C2229" s="9">
        <v>2162.0</v>
      </c>
      <c r="D2229" s="4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</row>
    <row r="2230">
      <c r="A2230" s="9">
        <v>2229.0</v>
      </c>
      <c r="B2230" s="9" t="s">
        <v>5696</v>
      </c>
      <c r="C2230" s="9">
        <v>2162.0</v>
      </c>
      <c r="D2230" s="4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</row>
    <row r="2231">
      <c r="A2231" s="9">
        <v>2230.0</v>
      </c>
      <c r="B2231" s="9" t="s">
        <v>5697</v>
      </c>
      <c r="C2231" s="4"/>
      <c r="D2231" s="4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</row>
    <row r="2232">
      <c r="A2232" s="9">
        <v>2231.0</v>
      </c>
      <c r="B2232" s="9" t="s">
        <v>5698</v>
      </c>
      <c r="C2232" s="4"/>
      <c r="D2232" s="4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</row>
    <row r="2233">
      <c r="A2233" s="9">
        <v>2232.0</v>
      </c>
      <c r="B2233" s="9" t="s">
        <v>5699</v>
      </c>
      <c r="C2233" s="9">
        <v>2231.0</v>
      </c>
      <c r="D2233" s="4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</row>
    <row r="2234">
      <c r="A2234" s="9">
        <v>2233.0</v>
      </c>
      <c r="B2234" s="9" t="s">
        <v>5700</v>
      </c>
      <c r="C2234" s="9">
        <v>2231.0</v>
      </c>
      <c r="D2234" s="4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</row>
    <row r="2235">
      <c r="A2235" s="9">
        <v>2234.0</v>
      </c>
      <c r="B2235" s="9" t="s">
        <v>5701</v>
      </c>
      <c r="C2235" s="9">
        <v>2231.0</v>
      </c>
      <c r="D2235" s="4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</row>
    <row r="2236">
      <c r="A2236" s="9">
        <v>2235.0</v>
      </c>
      <c r="B2236" s="9" t="s">
        <v>5702</v>
      </c>
      <c r="C2236" s="4"/>
      <c r="D2236" s="4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</row>
    <row r="2237">
      <c r="A2237" s="9">
        <v>2236.0</v>
      </c>
      <c r="B2237" s="9" t="s">
        <v>5703</v>
      </c>
      <c r="C2237" s="9">
        <v>2235.0</v>
      </c>
      <c r="D2237" s="4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</row>
    <row r="2238">
      <c r="A2238" s="9">
        <v>2237.0</v>
      </c>
      <c r="B2238" s="9" t="s">
        <v>5704</v>
      </c>
      <c r="C2238" s="9">
        <v>2235.0</v>
      </c>
      <c r="D2238" s="4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</row>
    <row r="2239">
      <c r="A2239" s="9">
        <v>2238.0</v>
      </c>
      <c r="B2239" s="9" t="s">
        <v>5705</v>
      </c>
      <c r="C2239" s="9">
        <v>2235.0</v>
      </c>
      <c r="D2239" s="4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</row>
    <row r="2240">
      <c r="A2240" s="9">
        <v>2239.0</v>
      </c>
      <c r="B2240" s="9" t="s">
        <v>5706</v>
      </c>
      <c r="C2240" s="9">
        <v>2235.0</v>
      </c>
      <c r="D2240" s="4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</row>
    <row r="2241">
      <c r="A2241" s="9">
        <v>2240.0</v>
      </c>
      <c r="B2241" s="9" t="s">
        <v>5707</v>
      </c>
      <c r="C2241" s="9">
        <v>2235.0</v>
      </c>
      <c r="D2241" s="4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</row>
    <row r="2242">
      <c r="A2242" s="9">
        <v>2241.0</v>
      </c>
      <c r="B2242" s="9" t="s">
        <v>5708</v>
      </c>
      <c r="C2242" s="9">
        <v>2235.0</v>
      </c>
      <c r="D2242" s="4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</row>
    <row r="2243">
      <c r="A2243" s="9">
        <v>2242.0</v>
      </c>
      <c r="B2243" s="9" t="s">
        <v>5709</v>
      </c>
      <c r="C2243" s="4"/>
      <c r="D2243" s="4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</row>
    <row r="2244">
      <c r="A2244" s="9">
        <v>2243.0</v>
      </c>
      <c r="B2244" s="9" t="s">
        <v>5710</v>
      </c>
      <c r="C2244" s="9">
        <v>2242.0</v>
      </c>
      <c r="D2244" s="4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</row>
    <row r="2245">
      <c r="A2245" s="9">
        <v>2244.0</v>
      </c>
      <c r="B2245" s="9" t="s">
        <v>5711</v>
      </c>
      <c r="C2245" s="9">
        <v>2242.0</v>
      </c>
      <c r="D2245" s="4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</row>
    <row r="2246">
      <c r="A2246" s="9">
        <v>2245.0</v>
      </c>
      <c r="B2246" s="9" t="s">
        <v>5712</v>
      </c>
      <c r="C2246" s="4"/>
      <c r="D2246" s="4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</row>
    <row r="2247">
      <c r="A2247" s="9">
        <v>2246.0</v>
      </c>
      <c r="B2247" s="9" t="s">
        <v>5713</v>
      </c>
      <c r="C2247" s="9">
        <v>2245.0</v>
      </c>
      <c r="D2247" s="4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</row>
    <row r="2248">
      <c r="A2248" s="9">
        <v>2247.0</v>
      </c>
      <c r="B2248" s="9" t="s">
        <v>5714</v>
      </c>
      <c r="C2248" s="9">
        <v>2245.0</v>
      </c>
      <c r="D2248" s="4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</row>
    <row r="2249">
      <c r="A2249" s="9">
        <v>2248.0</v>
      </c>
      <c r="B2249" s="9" t="s">
        <v>5715</v>
      </c>
      <c r="C2249" s="9">
        <v>2245.0</v>
      </c>
      <c r="D2249" s="4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</row>
    <row r="2250">
      <c r="A2250" s="9">
        <v>2249.0</v>
      </c>
      <c r="B2250" s="9" t="s">
        <v>5716</v>
      </c>
      <c r="C2250" s="9">
        <v>2245.0</v>
      </c>
      <c r="D2250" s="4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</row>
    <row r="2251">
      <c r="A2251" s="9">
        <v>2250.0</v>
      </c>
      <c r="B2251" s="9" t="s">
        <v>5717</v>
      </c>
      <c r="C2251" s="9">
        <v>2245.0</v>
      </c>
      <c r="D2251" s="4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</row>
    <row r="2252">
      <c r="A2252" s="9">
        <v>2251.0</v>
      </c>
      <c r="B2252" s="9" t="s">
        <v>5718</v>
      </c>
      <c r="C2252" s="9">
        <v>2245.0</v>
      </c>
      <c r="D2252" s="4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</row>
    <row r="2253">
      <c r="A2253" s="9">
        <v>2252.0</v>
      </c>
      <c r="B2253" s="9" t="s">
        <v>5719</v>
      </c>
      <c r="C2253" s="4"/>
      <c r="D2253" s="4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</row>
    <row r="2254">
      <c r="A2254" s="9">
        <v>2253.0</v>
      </c>
      <c r="B2254" s="9" t="s">
        <v>5720</v>
      </c>
      <c r="C2254" s="4"/>
      <c r="D2254" s="4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</row>
    <row r="2255">
      <c r="A2255" s="9">
        <v>2254.0</v>
      </c>
      <c r="B2255" s="9" t="s">
        <v>5721</v>
      </c>
      <c r="C2255" s="4"/>
      <c r="D2255" s="4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</row>
    <row r="2256">
      <c r="A2256" s="9">
        <v>2255.0</v>
      </c>
      <c r="B2256" s="9" t="s">
        <v>5722</v>
      </c>
      <c r="C2256" s="9">
        <v>2254.0</v>
      </c>
      <c r="D2256" s="4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</row>
    <row r="2257">
      <c r="A2257" s="9">
        <v>2256.0</v>
      </c>
      <c r="B2257" s="9" t="s">
        <v>5723</v>
      </c>
      <c r="C2257" s="4"/>
      <c r="D2257" s="4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</row>
    <row r="2258">
      <c r="A2258" s="9">
        <v>2257.0</v>
      </c>
      <c r="B2258" s="9" t="s">
        <v>5724</v>
      </c>
      <c r="C2258" s="9">
        <v>2256.0</v>
      </c>
      <c r="D2258" s="4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</row>
    <row r="2259">
      <c r="A2259" s="9">
        <v>2258.0</v>
      </c>
      <c r="B2259" s="9" t="s">
        <v>5725</v>
      </c>
      <c r="C2259" s="9">
        <v>2256.0</v>
      </c>
      <c r="D2259" s="4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</row>
    <row r="2260">
      <c r="A2260" s="9">
        <v>2259.0</v>
      </c>
      <c r="B2260" s="9" t="s">
        <v>5726</v>
      </c>
      <c r="C2260" s="9">
        <v>2256.0</v>
      </c>
      <c r="D2260" s="4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</row>
    <row r="2261">
      <c r="A2261" s="9">
        <v>2260.0</v>
      </c>
      <c r="B2261" s="9" t="s">
        <v>5727</v>
      </c>
      <c r="C2261" s="4"/>
      <c r="D2261" s="4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</row>
    <row r="2262">
      <c r="A2262" s="9">
        <v>2261.0</v>
      </c>
      <c r="B2262" s="9" t="s">
        <v>5728</v>
      </c>
      <c r="C2262" s="9">
        <v>2260.0</v>
      </c>
      <c r="D2262" s="4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</row>
    <row r="2263">
      <c r="A2263" s="9">
        <v>2262.0</v>
      </c>
      <c r="B2263" s="9" t="s">
        <v>5729</v>
      </c>
      <c r="C2263" s="9">
        <v>2260.0</v>
      </c>
      <c r="D2263" s="4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</row>
    <row r="2264">
      <c r="A2264" s="9">
        <v>2263.0</v>
      </c>
      <c r="B2264" s="9" t="s">
        <v>5730</v>
      </c>
      <c r="C2264" s="9">
        <v>2260.0</v>
      </c>
      <c r="D2264" s="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</row>
    <row r="2265">
      <c r="A2265" s="9">
        <v>2264.0</v>
      </c>
      <c r="B2265" s="9" t="s">
        <v>5731</v>
      </c>
      <c r="C2265" s="9">
        <v>2260.0</v>
      </c>
      <c r="D2265" s="4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</row>
    <row r="2266">
      <c r="A2266" s="9">
        <v>2265.0</v>
      </c>
      <c r="B2266" s="9" t="s">
        <v>5732</v>
      </c>
      <c r="C2266" s="9">
        <v>2260.0</v>
      </c>
      <c r="D2266" s="4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</row>
    <row r="2267">
      <c r="A2267" s="9">
        <v>2266.0</v>
      </c>
      <c r="B2267" s="9" t="s">
        <v>5733</v>
      </c>
      <c r="C2267" s="9">
        <v>2260.0</v>
      </c>
      <c r="D2267" s="4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</row>
    <row r="2268">
      <c r="A2268" s="9">
        <v>2267.0</v>
      </c>
      <c r="B2268" s="9" t="s">
        <v>5734</v>
      </c>
      <c r="C2268" s="9">
        <v>2260.0</v>
      </c>
      <c r="D2268" s="4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</row>
    <row r="2269">
      <c r="A2269" s="9">
        <v>2268.0</v>
      </c>
      <c r="B2269" s="9" t="s">
        <v>5735</v>
      </c>
      <c r="C2269" s="9">
        <v>2260.0</v>
      </c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</row>
    <row r="2270">
      <c r="A2270" s="9">
        <v>2269.0</v>
      </c>
      <c r="B2270" s="9" t="s">
        <v>5736</v>
      </c>
      <c r="C2270" s="9">
        <v>2260.0</v>
      </c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</row>
    <row r="2271">
      <c r="A2271" s="9">
        <v>2270.0</v>
      </c>
      <c r="B2271" s="9" t="s">
        <v>5737</v>
      </c>
      <c r="C2271" s="9">
        <v>2260.0</v>
      </c>
      <c r="D2271" s="4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</row>
    <row r="2272">
      <c r="A2272" s="9">
        <v>2271.0</v>
      </c>
      <c r="B2272" s="9" t="s">
        <v>5738</v>
      </c>
      <c r="C2272" s="9">
        <v>2260.0</v>
      </c>
      <c r="D2272" s="4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</row>
    <row r="2273">
      <c r="A2273" s="9">
        <v>2272.0</v>
      </c>
      <c r="B2273" s="9" t="s">
        <v>5739</v>
      </c>
      <c r="C2273" s="9">
        <v>2260.0</v>
      </c>
      <c r="D2273" s="4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</row>
    <row r="2274">
      <c r="A2274" s="9">
        <v>2273.0</v>
      </c>
      <c r="B2274" s="9" t="s">
        <v>5740</v>
      </c>
      <c r="C2274" s="9">
        <v>2260.0</v>
      </c>
      <c r="D2274" s="4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</row>
    <row r="2275">
      <c r="A2275" s="9">
        <v>2274.0</v>
      </c>
      <c r="B2275" s="9" t="s">
        <v>5741</v>
      </c>
      <c r="C2275" s="9">
        <v>2260.0</v>
      </c>
      <c r="D2275" s="4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</row>
    <row r="2276">
      <c r="A2276" s="9">
        <v>2275.0</v>
      </c>
      <c r="B2276" s="9" t="s">
        <v>5742</v>
      </c>
      <c r="C2276" s="9">
        <v>2260.0</v>
      </c>
      <c r="D2276" s="4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</row>
    <row r="2277">
      <c r="A2277" s="9">
        <v>2276.0</v>
      </c>
      <c r="B2277" s="9" t="s">
        <v>5743</v>
      </c>
      <c r="C2277" s="9">
        <v>2260.0</v>
      </c>
      <c r="D2277" s="4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</row>
    <row r="2278">
      <c r="A2278" s="9">
        <v>2277.0</v>
      </c>
      <c r="B2278" s="9" t="s">
        <v>5744</v>
      </c>
      <c r="C2278" s="9">
        <v>2260.0</v>
      </c>
      <c r="D2278" s="4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</row>
    <row r="2279">
      <c r="A2279" s="9">
        <v>2278.0</v>
      </c>
      <c r="B2279" s="9" t="s">
        <v>5745</v>
      </c>
      <c r="C2279" s="9">
        <v>2260.0</v>
      </c>
      <c r="D2279" s="4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</row>
    <row r="2280">
      <c r="A2280" s="9">
        <v>2279.0</v>
      </c>
      <c r="B2280" s="9" t="s">
        <v>5746</v>
      </c>
      <c r="C2280" s="9">
        <v>2260.0</v>
      </c>
      <c r="D2280" s="4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</row>
    <row r="2281">
      <c r="A2281" s="9">
        <v>2280.0</v>
      </c>
      <c r="B2281" s="9" t="s">
        <v>5747</v>
      </c>
      <c r="C2281" s="9">
        <v>2260.0</v>
      </c>
      <c r="D2281" s="4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</row>
    <row r="2282">
      <c r="A2282" s="9">
        <v>2281.0</v>
      </c>
      <c r="B2282" s="9" t="s">
        <v>5748</v>
      </c>
      <c r="C2282" s="9">
        <v>2260.0</v>
      </c>
      <c r="D2282" s="4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</row>
    <row r="2283">
      <c r="A2283" s="9">
        <v>2282.0</v>
      </c>
      <c r="B2283" s="9" t="s">
        <v>5749</v>
      </c>
      <c r="C2283" s="9">
        <v>2260.0</v>
      </c>
      <c r="D2283" s="4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</row>
    <row r="2284">
      <c r="A2284" s="9">
        <v>2283.0</v>
      </c>
      <c r="B2284" s="9" t="s">
        <v>5750</v>
      </c>
      <c r="C2284" s="9">
        <v>2260.0</v>
      </c>
      <c r="D2284" s="4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</row>
    <row r="2285">
      <c r="A2285" s="9">
        <v>2284.0</v>
      </c>
      <c r="B2285" s="9" t="s">
        <v>5751</v>
      </c>
      <c r="C2285" s="4"/>
      <c r="D2285" s="4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</row>
    <row r="2286">
      <c r="A2286" s="9">
        <v>2285.0</v>
      </c>
      <c r="B2286" s="9" t="s">
        <v>5752</v>
      </c>
      <c r="C2286" s="9">
        <v>2284.0</v>
      </c>
      <c r="D2286" s="4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</row>
    <row r="2287">
      <c r="A2287" s="9">
        <v>2286.0</v>
      </c>
      <c r="B2287" s="9" t="s">
        <v>5753</v>
      </c>
      <c r="C2287" s="9">
        <v>2284.0</v>
      </c>
      <c r="D2287" s="4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</row>
    <row r="2288">
      <c r="A2288" s="9">
        <v>2287.0</v>
      </c>
      <c r="B2288" s="9" t="s">
        <v>5754</v>
      </c>
      <c r="C2288" s="9">
        <v>2284.0</v>
      </c>
      <c r="D2288" s="4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</row>
    <row r="2289">
      <c r="A2289" s="9">
        <v>2288.0</v>
      </c>
      <c r="B2289" s="9" t="s">
        <v>5755</v>
      </c>
      <c r="C2289" s="9">
        <v>2284.0</v>
      </c>
      <c r="D2289" s="4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</row>
    <row r="2290">
      <c r="A2290" s="9">
        <v>2289.0</v>
      </c>
      <c r="B2290" s="9" t="s">
        <v>5756</v>
      </c>
      <c r="C2290" s="9">
        <v>2284.0</v>
      </c>
      <c r="D2290" s="4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</row>
    <row r="2291">
      <c r="A2291" s="9">
        <v>2290.0</v>
      </c>
      <c r="B2291" s="9" t="s">
        <v>5757</v>
      </c>
      <c r="C2291" s="9">
        <v>2284.0</v>
      </c>
      <c r="D2291" s="4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</row>
    <row r="2292">
      <c r="A2292" s="9">
        <v>2291.0</v>
      </c>
      <c r="B2292" s="9" t="s">
        <v>5758</v>
      </c>
      <c r="C2292" s="9">
        <v>2284.0</v>
      </c>
      <c r="D2292" s="4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</row>
    <row r="2293">
      <c r="A2293" s="9">
        <v>2292.0</v>
      </c>
      <c r="B2293" s="9" t="s">
        <v>5759</v>
      </c>
      <c r="C2293" s="9">
        <v>2284.0</v>
      </c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</row>
    <row r="2294">
      <c r="A2294" s="9">
        <v>2293.0</v>
      </c>
      <c r="B2294" s="9" t="s">
        <v>5760</v>
      </c>
      <c r="C2294" s="9">
        <v>2284.0</v>
      </c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</row>
    <row r="2295">
      <c r="A2295" s="9">
        <v>2294.0</v>
      </c>
      <c r="B2295" s="9" t="s">
        <v>5761</v>
      </c>
      <c r="C2295" s="9">
        <v>2284.0</v>
      </c>
      <c r="D2295" s="4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</row>
    <row r="2296">
      <c r="A2296" s="9">
        <v>2295.0</v>
      </c>
      <c r="B2296" s="9" t="s">
        <v>5762</v>
      </c>
      <c r="C2296" s="4"/>
      <c r="D2296" s="4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</row>
    <row r="2297">
      <c r="A2297" s="9">
        <v>2296.0</v>
      </c>
      <c r="B2297" s="9" t="s">
        <v>5763</v>
      </c>
      <c r="C2297" s="9">
        <v>2295.0</v>
      </c>
      <c r="D2297" s="4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</row>
    <row r="2298">
      <c r="A2298" s="9">
        <v>2297.0</v>
      </c>
      <c r="B2298" s="9" t="s">
        <v>5764</v>
      </c>
      <c r="C2298" s="9">
        <v>2295.0</v>
      </c>
      <c r="D2298" s="4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</row>
    <row r="2299">
      <c r="A2299" s="9">
        <v>2298.0</v>
      </c>
      <c r="B2299" s="9" t="s">
        <v>5765</v>
      </c>
      <c r="C2299" s="4"/>
      <c r="D2299" s="4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</row>
    <row r="2300">
      <c r="A2300" s="9">
        <v>2299.0</v>
      </c>
      <c r="B2300" s="9" t="s">
        <v>5766</v>
      </c>
      <c r="C2300" s="9">
        <v>2298.0</v>
      </c>
      <c r="D2300" s="4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</row>
    <row r="2301">
      <c r="A2301" s="9">
        <v>2300.0</v>
      </c>
      <c r="B2301" s="9" t="s">
        <v>5767</v>
      </c>
      <c r="C2301" s="9">
        <v>2298.0</v>
      </c>
      <c r="D2301" s="4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</row>
    <row r="2302">
      <c r="A2302" s="9">
        <v>2301.0</v>
      </c>
      <c r="B2302" s="9" t="s">
        <v>5768</v>
      </c>
      <c r="C2302" s="4"/>
      <c r="D2302" s="4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</row>
    <row r="2303">
      <c r="A2303" s="9">
        <v>2302.0</v>
      </c>
      <c r="B2303" s="9" t="s">
        <v>5769</v>
      </c>
      <c r="C2303" s="4"/>
      <c r="D2303" s="4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</row>
    <row r="2304">
      <c r="A2304" s="9">
        <v>2303.0</v>
      </c>
      <c r="B2304" s="9" t="s">
        <v>5770</v>
      </c>
      <c r="C2304" s="9">
        <v>2302.0</v>
      </c>
      <c r="D2304" s="4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</row>
    <row r="2305">
      <c r="A2305" s="9">
        <v>2304.0</v>
      </c>
      <c r="B2305" s="9" t="s">
        <v>5771</v>
      </c>
      <c r="C2305" s="9">
        <v>2302.0</v>
      </c>
      <c r="D2305" s="4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</row>
    <row r="2306">
      <c r="A2306" s="9">
        <v>2305.0</v>
      </c>
      <c r="B2306" s="9" t="s">
        <v>5772</v>
      </c>
      <c r="C2306" s="9">
        <v>2302.0</v>
      </c>
      <c r="D2306" s="4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</row>
    <row r="2307">
      <c r="A2307" s="9">
        <v>2306.0</v>
      </c>
      <c r="B2307" s="9" t="s">
        <v>5773</v>
      </c>
      <c r="C2307" s="9">
        <v>2302.0</v>
      </c>
      <c r="D2307" s="4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</row>
    <row r="2308">
      <c r="A2308" s="9">
        <v>2307.0</v>
      </c>
      <c r="B2308" s="9" t="s">
        <v>5774</v>
      </c>
      <c r="C2308" s="9">
        <v>2302.0</v>
      </c>
      <c r="D2308" s="4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</row>
    <row r="2309">
      <c r="A2309" s="9">
        <v>2308.0</v>
      </c>
      <c r="B2309" s="9" t="s">
        <v>5775</v>
      </c>
      <c r="C2309" s="4"/>
      <c r="D2309" s="4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</row>
    <row r="2310">
      <c r="A2310" s="9">
        <v>2309.0</v>
      </c>
      <c r="B2310" s="9" t="s">
        <v>5776</v>
      </c>
      <c r="C2310" s="9">
        <v>2308.0</v>
      </c>
      <c r="D2310" s="4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</row>
    <row r="2311">
      <c r="A2311" s="9">
        <v>2310.0</v>
      </c>
      <c r="B2311" s="9" t="s">
        <v>5777</v>
      </c>
      <c r="C2311" s="9">
        <v>2308.0</v>
      </c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</row>
    <row r="2312">
      <c r="A2312" s="9">
        <v>2311.0</v>
      </c>
      <c r="B2312" s="9" t="s">
        <v>5778</v>
      </c>
      <c r="C2312" s="9">
        <v>2308.0</v>
      </c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</row>
    <row r="2313">
      <c r="A2313" s="9">
        <v>2312.0</v>
      </c>
      <c r="B2313" s="9" t="s">
        <v>5779</v>
      </c>
      <c r="C2313" s="9">
        <v>2308.0</v>
      </c>
      <c r="D2313" s="4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</row>
    <row r="2314">
      <c r="A2314" s="9">
        <v>2313.0</v>
      </c>
      <c r="B2314" s="9" t="s">
        <v>5780</v>
      </c>
      <c r="C2314" s="9">
        <v>2308.0</v>
      </c>
      <c r="D2314" s="4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</row>
    <row r="2315">
      <c r="A2315" s="9">
        <v>2314.0</v>
      </c>
      <c r="B2315" s="9" t="s">
        <v>5781</v>
      </c>
      <c r="C2315" s="9">
        <v>2308.0</v>
      </c>
      <c r="D2315" s="4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</row>
    <row r="2316">
      <c r="A2316" s="9">
        <v>2315.0</v>
      </c>
      <c r="B2316" s="9" t="s">
        <v>5782</v>
      </c>
      <c r="C2316" s="9">
        <v>2308.0</v>
      </c>
      <c r="D2316" s="4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</row>
    <row r="2317">
      <c r="A2317" s="9">
        <v>2316.0</v>
      </c>
      <c r="B2317" s="9" t="s">
        <v>5783</v>
      </c>
      <c r="C2317" s="9">
        <v>2308.0</v>
      </c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</row>
    <row r="2318">
      <c r="A2318" s="9">
        <v>2317.0</v>
      </c>
      <c r="B2318" s="9" t="s">
        <v>5784</v>
      </c>
      <c r="C2318" s="9">
        <v>2308.0</v>
      </c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</row>
    <row r="2319">
      <c r="A2319" s="9">
        <v>2318.0</v>
      </c>
      <c r="B2319" s="9" t="s">
        <v>5785</v>
      </c>
      <c r="C2319" s="9">
        <v>2308.0</v>
      </c>
      <c r="D2319" s="4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</row>
    <row r="2320">
      <c r="A2320" s="9">
        <v>2319.0</v>
      </c>
      <c r="B2320" s="9" t="s">
        <v>5786</v>
      </c>
      <c r="C2320" s="9">
        <v>2308.0</v>
      </c>
      <c r="D2320" s="4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</row>
    <row r="2321">
      <c r="A2321" s="9">
        <v>2320.0</v>
      </c>
      <c r="B2321" s="9" t="s">
        <v>5787</v>
      </c>
      <c r="C2321" s="9">
        <v>2308.0</v>
      </c>
      <c r="D2321" s="4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</row>
    <row r="2322">
      <c r="A2322" s="9">
        <v>2321.0</v>
      </c>
      <c r="B2322" s="9" t="s">
        <v>5788</v>
      </c>
      <c r="C2322" s="9">
        <v>2308.0</v>
      </c>
      <c r="D2322" s="4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</row>
    <row r="2323">
      <c r="A2323" s="9">
        <v>2322.0</v>
      </c>
      <c r="B2323" s="9" t="s">
        <v>5789</v>
      </c>
      <c r="C2323" s="9">
        <v>2308.0</v>
      </c>
      <c r="D2323" s="4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</row>
    <row r="2324">
      <c r="A2324" s="9">
        <v>2323.0</v>
      </c>
      <c r="B2324" s="9" t="s">
        <v>5790</v>
      </c>
      <c r="C2324" s="4"/>
      <c r="D2324" s="4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</row>
    <row r="2325">
      <c r="A2325" s="9">
        <v>2324.0</v>
      </c>
      <c r="B2325" s="9" t="s">
        <v>5791</v>
      </c>
      <c r="C2325" s="9">
        <v>2323.0</v>
      </c>
      <c r="D2325" s="4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</row>
    <row r="2326">
      <c r="A2326" s="9">
        <v>2325.0</v>
      </c>
      <c r="B2326" s="9" t="s">
        <v>5792</v>
      </c>
      <c r="C2326" s="4"/>
      <c r="D2326" s="4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</row>
    <row r="2327">
      <c r="A2327" s="9">
        <v>2326.0</v>
      </c>
      <c r="B2327" s="9" t="s">
        <v>5793</v>
      </c>
      <c r="C2327" s="9">
        <v>2325.0</v>
      </c>
      <c r="D2327" s="4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</row>
    <row r="2328">
      <c r="A2328" s="9">
        <v>2327.0</v>
      </c>
      <c r="B2328" s="9" t="s">
        <v>5794</v>
      </c>
      <c r="C2328" s="9">
        <v>2325.0</v>
      </c>
      <c r="D2328" s="4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</row>
    <row r="2329">
      <c r="A2329" s="9">
        <v>2328.0</v>
      </c>
      <c r="B2329" s="9" t="s">
        <v>5795</v>
      </c>
      <c r="C2329" s="4"/>
      <c r="D2329" s="4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</row>
    <row r="2330">
      <c r="A2330" s="9">
        <v>2329.0</v>
      </c>
      <c r="B2330" s="9" t="s">
        <v>5796</v>
      </c>
      <c r="C2330" s="9">
        <v>2328.0</v>
      </c>
      <c r="D2330" s="4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</row>
    <row r="2331">
      <c r="A2331" s="9">
        <v>2330.0</v>
      </c>
      <c r="B2331" s="9" t="s">
        <v>5797</v>
      </c>
      <c r="C2331" s="4"/>
      <c r="D2331" s="4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</row>
    <row r="2332">
      <c r="A2332" s="9">
        <v>2331.0</v>
      </c>
      <c r="B2332" s="9" t="s">
        <v>5798</v>
      </c>
      <c r="C2332" s="9">
        <v>2330.0</v>
      </c>
      <c r="D2332" s="4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</row>
    <row r="2333">
      <c r="A2333" s="9">
        <v>2332.0</v>
      </c>
      <c r="B2333" s="9" t="s">
        <v>5799</v>
      </c>
      <c r="C2333" s="4"/>
      <c r="D2333" s="4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</row>
    <row r="2334">
      <c r="A2334" s="9">
        <v>2333.0</v>
      </c>
      <c r="B2334" s="9" t="s">
        <v>5800</v>
      </c>
      <c r="C2334" s="9">
        <v>2332.0</v>
      </c>
      <c r="D2334" s="4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</row>
    <row r="2335">
      <c r="A2335" s="9">
        <v>2334.0</v>
      </c>
      <c r="B2335" s="9" t="s">
        <v>5801</v>
      </c>
      <c r="C2335" s="9">
        <v>2332.0</v>
      </c>
      <c r="D2335" s="4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</row>
    <row r="2336">
      <c r="A2336" s="9">
        <v>2335.0</v>
      </c>
      <c r="B2336" s="9" t="s">
        <v>5802</v>
      </c>
      <c r="C2336" s="4"/>
      <c r="D2336" s="4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</row>
    <row r="2337">
      <c r="A2337" s="9">
        <v>2336.0</v>
      </c>
      <c r="B2337" s="9" t="s">
        <v>5803</v>
      </c>
      <c r="C2337" s="4"/>
      <c r="D2337" s="4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</row>
    <row r="2338">
      <c r="A2338" s="9">
        <v>2337.0</v>
      </c>
      <c r="B2338" s="9" t="s">
        <v>5804</v>
      </c>
      <c r="C2338" s="9">
        <v>2336.0</v>
      </c>
      <c r="D2338" s="4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</row>
    <row r="2339">
      <c r="A2339" s="9">
        <v>2338.0</v>
      </c>
      <c r="B2339" s="9" t="s">
        <v>5805</v>
      </c>
      <c r="C2339" s="4"/>
      <c r="D2339" s="4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</row>
    <row r="2340">
      <c r="A2340" s="9">
        <v>2339.0</v>
      </c>
      <c r="B2340" s="9" t="s">
        <v>5806</v>
      </c>
      <c r="C2340" s="9">
        <v>2338.0</v>
      </c>
      <c r="D2340" s="4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</row>
    <row r="2341">
      <c r="A2341" s="9">
        <v>2340.0</v>
      </c>
      <c r="B2341" s="9" t="s">
        <v>5807</v>
      </c>
      <c r="C2341" s="9">
        <v>2338.0</v>
      </c>
      <c r="D2341" s="4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</row>
    <row r="2342">
      <c r="A2342" s="9">
        <v>2341.0</v>
      </c>
      <c r="B2342" s="9" t="s">
        <v>5808</v>
      </c>
      <c r="C2342" s="4"/>
      <c r="D2342" s="4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</row>
    <row r="2343">
      <c r="A2343" s="9">
        <v>2342.0</v>
      </c>
      <c r="B2343" s="9" t="s">
        <v>5809</v>
      </c>
      <c r="C2343" s="9">
        <v>2341.0</v>
      </c>
      <c r="D2343" s="4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</row>
    <row r="2344">
      <c r="A2344" s="9">
        <v>2343.0</v>
      </c>
      <c r="B2344" s="9" t="s">
        <v>5810</v>
      </c>
      <c r="C2344" s="4"/>
      <c r="D2344" s="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</row>
    <row r="2345">
      <c r="A2345" s="9">
        <v>2344.0</v>
      </c>
      <c r="B2345" s="9" t="s">
        <v>5811</v>
      </c>
      <c r="C2345" s="9">
        <v>2343.0</v>
      </c>
      <c r="D2345" s="4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</row>
    <row r="2346">
      <c r="A2346" s="9">
        <v>2345.0</v>
      </c>
      <c r="B2346" s="9" t="s">
        <v>5812</v>
      </c>
      <c r="C2346" s="9">
        <v>2343.0</v>
      </c>
      <c r="D2346" s="4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</row>
    <row r="2347">
      <c r="A2347" s="9">
        <v>2346.0</v>
      </c>
      <c r="B2347" s="9" t="s">
        <v>5813</v>
      </c>
      <c r="C2347" s="4"/>
      <c r="D2347" s="4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</row>
    <row r="2348">
      <c r="A2348" s="9">
        <v>2347.0</v>
      </c>
      <c r="B2348" s="9" t="s">
        <v>5814</v>
      </c>
      <c r="C2348" s="9">
        <v>2346.0</v>
      </c>
      <c r="D2348" s="4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</row>
    <row r="2349">
      <c r="A2349" s="9">
        <v>2348.0</v>
      </c>
      <c r="B2349" s="9" t="s">
        <v>5815</v>
      </c>
      <c r="C2349" s="4"/>
      <c r="D2349" s="4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</row>
    <row r="2350">
      <c r="A2350" s="9">
        <v>2349.0</v>
      </c>
      <c r="B2350" s="9" t="s">
        <v>5816</v>
      </c>
      <c r="C2350" s="9">
        <v>2348.0</v>
      </c>
      <c r="D2350" s="4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</row>
    <row r="2351">
      <c r="A2351" s="9">
        <v>2350.0</v>
      </c>
      <c r="B2351" s="9" t="s">
        <v>5817</v>
      </c>
      <c r="C2351" s="9">
        <v>2348.0</v>
      </c>
      <c r="D2351" s="4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</row>
    <row r="2352">
      <c r="A2352" s="9">
        <v>2351.0</v>
      </c>
      <c r="B2352" s="9" t="s">
        <v>5818</v>
      </c>
      <c r="C2352" s="4"/>
      <c r="D2352" s="4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</row>
    <row r="2353">
      <c r="A2353" s="9">
        <v>2352.0</v>
      </c>
      <c r="B2353" s="9" t="s">
        <v>5819</v>
      </c>
      <c r="C2353" s="9">
        <v>2351.0</v>
      </c>
      <c r="D2353" s="4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</row>
    <row r="2354">
      <c r="A2354" s="9">
        <v>2353.0</v>
      </c>
      <c r="B2354" s="9" t="s">
        <v>5820</v>
      </c>
      <c r="C2354" s="9">
        <v>2351.0</v>
      </c>
      <c r="D2354" s="4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</row>
    <row r="2355">
      <c r="A2355" s="9">
        <v>2354.0</v>
      </c>
      <c r="B2355" s="9" t="s">
        <v>5821</v>
      </c>
      <c r="C2355" s="4"/>
      <c r="D2355" s="4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</row>
    <row r="2356">
      <c r="A2356" s="9">
        <v>2355.0</v>
      </c>
      <c r="B2356" s="9" t="s">
        <v>5822</v>
      </c>
      <c r="C2356" s="9">
        <v>2354.0</v>
      </c>
      <c r="D2356" s="4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</row>
    <row r="2357">
      <c r="A2357" s="9">
        <v>2356.0</v>
      </c>
      <c r="B2357" s="9" t="s">
        <v>5823</v>
      </c>
      <c r="C2357" s="9">
        <v>2354.0</v>
      </c>
      <c r="D2357" s="4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</row>
    <row r="2358">
      <c r="A2358" s="9">
        <v>2357.0</v>
      </c>
      <c r="B2358" s="9" t="s">
        <v>5824</v>
      </c>
      <c r="C2358" s="9">
        <v>2354.0</v>
      </c>
      <c r="D2358" s="4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</row>
    <row r="2359">
      <c r="A2359" s="9">
        <v>2358.0</v>
      </c>
      <c r="B2359" s="9" t="s">
        <v>5825</v>
      </c>
      <c r="C2359" s="9">
        <v>2354.0</v>
      </c>
      <c r="D2359" s="4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</row>
    <row r="2360">
      <c r="A2360" s="9">
        <v>2359.0</v>
      </c>
      <c r="B2360" s="9" t="s">
        <v>5826</v>
      </c>
      <c r="C2360" s="9">
        <v>2354.0</v>
      </c>
      <c r="D2360" s="4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</row>
    <row r="2361">
      <c r="A2361" s="9">
        <v>2360.0</v>
      </c>
      <c r="B2361" s="9" t="s">
        <v>5827</v>
      </c>
      <c r="C2361" s="4"/>
      <c r="D2361" s="4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</row>
    <row r="2362">
      <c r="A2362" s="9">
        <v>2361.0</v>
      </c>
      <c r="B2362" s="9" t="s">
        <v>5828</v>
      </c>
      <c r="C2362" s="4"/>
      <c r="D2362" s="4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</row>
    <row r="2363">
      <c r="A2363" s="9">
        <v>2362.0</v>
      </c>
      <c r="B2363" s="9" t="s">
        <v>5829</v>
      </c>
      <c r="C2363" s="9">
        <v>2361.0</v>
      </c>
      <c r="D2363" s="4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</row>
    <row r="2364">
      <c r="A2364" s="9">
        <v>2363.0</v>
      </c>
      <c r="B2364" s="9" t="s">
        <v>5830</v>
      </c>
      <c r="C2364" s="9">
        <v>2361.0</v>
      </c>
      <c r="D2364" s="4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</row>
    <row r="2365">
      <c r="A2365" s="9">
        <v>2364.0</v>
      </c>
      <c r="B2365" s="9" t="s">
        <v>5831</v>
      </c>
      <c r="C2365" s="9">
        <v>2361.0</v>
      </c>
      <c r="D2365" s="4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</row>
    <row r="2366">
      <c r="A2366" s="9">
        <v>2365.0</v>
      </c>
      <c r="B2366" s="9" t="s">
        <v>5832</v>
      </c>
      <c r="C2366" s="9">
        <v>2361.0</v>
      </c>
      <c r="D2366" s="4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</row>
    <row r="2367">
      <c r="A2367" s="9">
        <v>2366.0</v>
      </c>
      <c r="B2367" s="9" t="s">
        <v>5833</v>
      </c>
      <c r="C2367" s="9">
        <v>2361.0</v>
      </c>
      <c r="D2367" s="4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</row>
    <row r="2368">
      <c r="A2368" s="9">
        <v>2367.0</v>
      </c>
      <c r="B2368" s="9" t="s">
        <v>5834</v>
      </c>
      <c r="C2368" s="9">
        <v>2361.0</v>
      </c>
      <c r="D2368" s="4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</row>
    <row r="2369">
      <c r="A2369" s="9">
        <v>2368.0</v>
      </c>
      <c r="B2369" s="9" t="s">
        <v>5835</v>
      </c>
      <c r="C2369" s="4"/>
      <c r="D2369" s="4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</row>
    <row r="2370">
      <c r="A2370" s="9">
        <v>2369.0</v>
      </c>
      <c r="B2370" s="9" t="s">
        <v>5836</v>
      </c>
      <c r="C2370" s="4"/>
      <c r="D2370" s="4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</row>
    <row r="2371">
      <c r="A2371" s="9">
        <v>2370.0</v>
      </c>
      <c r="B2371" s="9" t="s">
        <v>5837</v>
      </c>
      <c r="C2371" s="9">
        <v>2369.0</v>
      </c>
      <c r="D2371" s="4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</row>
    <row r="2372">
      <c r="A2372" s="9">
        <v>2371.0</v>
      </c>
      <c r="B2372" s="9" t="s">
        <v>5838</v>
      </c>
      <c r="C2372" s="9">
        <v>2369.0</v>
      </c>
      <c r="D2372" s="4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</row>
    <row r="2373">
      <c r="A2373" s="9">
        <v>2372.0</v>
      </c>
      <c r="B2373" s="9" t="s">
        <v>5839</v>
      </c>
      <c r="C2373" s="9">
        <v>2369.0</v>
      </c>
      <c r="D2373" s="4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</row>
    <row r="2374">
      <c r="A2374" s="9">
        <v>2373.0</v>
      </c>
      <c r="B2374" s="9" t="s">
        <v>5840</v>
      </c>
      <c r="C2374" s="9">
        <v>2369.0</v>
      </c>
      <c r="D2374" s="4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</row>
    <row r="2375">
      <c r="A2375" s="9">
        <v>2374.0</v>
      </c>
      <c r="B2375" s="9" t="s">
        <v>5841</v>
      </c>
      <c r="C2375" s="9">
        <v>2369.0</v>
      </c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</row>
    <row r="2376">
      <c r="A2376" s="9">
        <v>2375.0</v>
      </c>
      <c r="B2376" s="9" t="s">
        <v>5842</v>
      </c>
      <c r="C2376" s="9">
        <v>2369.0</v>
      </c>
      <c r="D2376" s="4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</row>
    <row r="2377">
      <c r="A2377" s="9">
        <v>2376.0</v>
      </c>
      <c r="B2377" s="9" t="s">
        <v>5843</v>
      </c>
      <c r="C2377" s="9">
        <v>2369.0</v>
      </c>
      <c r="D2377" s="4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</row>
    <row r="2378">
      <c r="A2378" s="9">
        <v>2377.0</v>
      </c>
      <c r="B2378" s="9" t="s">
        <v>5844</v>
      </c>
      <c r="C2378" s="4"/>
      <c r="D2378" s="4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</row>
    <row r="2379">
      <c r="A2379" s="9">
        <v>2378.0</v>
      </c>
      <c r="B2379" s="9" t="s">
        <v>5845</v>
      </c>
      <c r="C2379" s="9">
        <v>2377.0</v>
      </c>
      <c r="D2379" s="4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</row>
    <row r="2380">
      <c r="A2380" s="9">
        <v>2379.0</v>
      </c>
      <c r="B2380" s="9" t="s">
        <v>5846</v>
      </c>
      <c r="C2380" s="9">
        <v>2377.0</v>
      </c>
      <c r="D2380" s="4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</row>
    <row r="2381">
      <c r="A2381" s="9">
        <v>2380.0</v>
      </c>
      <c r="B2381" s="9" t="s">
        <v>5847</v>
      </c>
      <c r="C2381" s="9">
        <v>2377.0</v>
      </c>
      <c r="D2381" s="4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</row>
    <row r="2382">
      <c r="A2382" s="9">
        <v>2381.0</v>
      </c>
      <c r="B2382" s="9" t="s">
        <v>5848</v>
      </c>
      <c r="C2382" s="9">
        <v>2377.0</v>
      </c>
      <c r="D2382" s="4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</row>
    <row r="2383">
      <c r="A2383" s="9">
        <v>2382.0</v>
      </c>
      <c r="B2383" s="9" t="s">
        <v>5849</v>
      </c>
      <c r="C2383" s="9">
        <v>2377.0</v>
      </c>
      <c r="D2383" s="4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</row>
    <row r="2384">
      <c r="A2384" s="9">
        <v>2383.0</v>
      </c>
      <c r="B2384" s="9" t="s">
        <v>5850</v>
      </c>
      <c r="C2384" s="9">
        <v>2377.0</v>
      </c>
      <c r="D2384" s="4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</row>
    <row r="2385">
      <c r="A2385" s="9">
        <v>2384.0</v>
      </c>
      <c r="B2385" s="9" t="s">
        <v>5851</v>
      </c>
      <c r="C2385" s="9">
        <v>2377.0</v>
      </c>
      <c r="D2385" s="4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</row>
    <row r="2386">
      <c r="A2386" s="9">
        <v>2385.0</v>
      </c>
      <c r="B2386" s="9" t="s">
        <v>5852</v>
      </c>
      <c r="C2386" s="9">
        <v>2377.0</v>
      </c>
      <c r="D2386" s="4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</row>
    <row r="2387">
      <c r="A2387" s="9">
        <v>2386.0</v>
      </c>
      <c r="B2387" s="9" t="s">
        <v>5853</v>
      </c>
      <c r="C2387" s="9">
        <v>2377.0</v>
      </c>
      <c r="D2387" s="4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</row>
    <row r="2388">
      <c r="A2388" s="9">
        <v>2387.0</v>
      </c>
      <c r="B2388" s="9" t="s">
        <v>5854</v>
      </c>
      <c r="C2388" s="4"/>
      <c r="D2388" s="4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</row>
    <row r="2389">
      <c r="A2389" s="9">
        <v>2388.0</v>
      </c>
      <c r="B2389" s="9" t="s">
        <v>5855</v>
      </c>
      <c r="C2389" s="4"/>
      <c r="D2389" s="4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</row>
    <row r="2390">
      <c r="A2390" s="9">
        <v>2389.0</v>
      </c>
      <c r="B2390" s="9" t="s">
        <v>5856</v>
      </c>
      <c r="C2390" s="4"/>
      <c r="D2390" s="4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</row>
    <row r="2391">
      <c r="A2391" s="9">
        <v>2390.0</v>
      </c>
      <c r="B2391" s="9" t="s">
        <v>5857</v>
      </c>
      <c r="C2391" s="4"/>
      <c r="D2391" s="4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</row>
    <row r="2392">
      <c r="A2392" s="9">
        <v>2391.0</v>
      </c>
      <c r="B2392" s="9" t="s">
        <v>5858</v>
      </c>
      <c r="C2392" s="9">
        <v>2390.0</v>
      </c>
      <c r="D2392" s="4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</row>
    <row r="2393">
      <c r="A2393" s="9">
        <v>2392.0</v>
      </c>
      <c r="B2393" s="9" t="s">
        <v>5859</v>
      </c>
      <c r="C2393" s="4"/>
      <c r="D2393" s="4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</row>
    <row r="2394">
      <c r="A2394" s="9">
        <v>2393.0</v>
      </c>
      <c r="B2394" s="9" t="s">
        <v>5860</v>
      </c>
      <c r="C2394" s="9">
        <v>2392.0</v>
      </c>
      <c r="D2394" s="4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</row>
    <row r="2395">
      <c r="A2395" s="9">
        <v>2394.0</v>
      </c>
      <c r="B2395" s="9" t="s">
        <v>5861</v>
      </c>
      <c r="C2395" s="9">
        <v>2392.0</v>
      </c>
      <c r="D2395" s="4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</row>
    <row r="2396">
      <c r="A2396" s="9">
        <v>2395.0</v>
      </c>
      <c r="B2396" s="9" t="s">
        <v>5862</v>
      </c>
      <c r="C2396" s="4"/>
      <c r="D2396" s="4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</row>
    <row r="2397">
      <c r="A2397" s="9">
        <v>2396.0</v>
      </c>
      <c r="B2397" s="9" t="s">
        <v>5863</v>
      </c>
      <c r="C2397" s="9">
        <v>2395.0</v>
      </c>
      <c r="D2397" s="4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</row>
    <row r="2398">
      <c r="A2398" s="9">
        <v>2397.0</v>
      </c>
      <c r="B2398" s="9" t="s">
        <v>5864</v>
      </c>
      <c r="C2398" s="4"/>
      <c r="D2398" s="4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</row>
    <row r="2399">
      <c r="A2399" s="9">
        <v>2398.0</v>
      </c>
      <c r="B2399" s="9" t="s">
        <v>5865</v>
      </c>
      <c r="C2399" s="9">
        <v>2397.0</v>
      </c>
      <c r="D2399" s="4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</row>
    <row r="2400">
      <c r="A2400" s="9">
        <v>2399.0</v>
      </c>
      <c r="B2400" s="9" t="s">
        <v>5866</v>
      </c>
      <c r="C2400" s="9">
        <v>2397.0</v>
      </c>
      <c r="D2400" s="4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</row>
    <row r="2401">
      <c r="A2401" s="9">
        <v>2400.0</v>
      </c>
      <c r="B2401" s="9" t="s">
        <v>5867</v>
      </c>
      <c r="C2401" s="9">
        <v>2397.0</v>
      </c>
      <c r="D2401" s="4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</row>
    <row r="2402">
      <c r="A2402" s="9">
        <v>2401.0</v>
      </c>
      <c r="B2402" s="9" t="s">
        <v>5868</v>
      </c>
      <c r="C2402" s="9">
        <v>2397.0</v>
      </c>
      <c r="D2402" s="4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</row>
    <row r="2403">
      <c r="A2403" s="9">
        <v>2402.0</v>
      </c>
      <c r="B2403" s="9" t="s">
        <v>5869</v>
      </c>
      <c r="C2403" s="9">
        <v>2397.0</v>
      </c>
      <c r="D2403" s="4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</row>
    <row r="2404">
      <c r="A2404" s="9">
        <v>2403.0</v>
      </c>
      <c r="B2404" s="9" t="s">
        <v>5870</v>
      </c>
      <c r="C2404" s="9">
        <v>2397.0</v>
      </c>
      <c r="D2404" s="4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</row>
    <row r="2405">
      <c r="A2405" s="9">
        <v>2404.0</v>
      </c>
      <c r="B2405" s="9" t="s">
        <v>5871</v>
      </c>
      <c r="C2405" s="9">
        <v>2397.0</v>
      </c>
      <c r="D2405" s="4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</row>
    <row r="2406">
      <c r="A2406" s="9">
        <v>2405.0</v>
      </c>
      <c r="B2406" s="9" t="s">
        <v>5872</v>
      </c>
      <c r="C2406" s="9">
        <v>2397.0</v>
      </c>
      <c r="D2406" s="4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</row>
    <row r="2407">
      <c r="A2407" s="9">
        <v>2406.0</v>
      </c>
      <c r="B2407" s="9" t="s">
        <v>5873</v>
      </c>
      <c r="C2407" s="9">
        <v>2397.0</v>
      </c>
      <c r="D2407" s="4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</row>
    <row r="2408">
      <c r="A2408" s="9">
        <v>2407.0</v>
      </c>
      <c r="B2408" s="9" t="s">
        <v>5874</v>
      </c>
      <c r="C2408" s="9">
        <v>2397.0</v>
      </c>
      <c r="D2408" s="4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</row>
    <row r="2409">
      <c r="A2409" s="9">
        <v>2408.0</v>
      </c>
      <c r="B2409" s="9" t="s">
        <v>5875</v>
      </c>
      <c r="C2409" s="9">
        <v>2397.0</v>
      </c>
      <c r="D2409" s="4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</row>
    <row r="2410">
      <c r="A2410" s="9">
        <v>2409.0</v>
      </c>
      <c r="B2410" s="9" t="s">
        <v>5876</v>
      </c>
      <c r="C2410" s="9">
        <v>2397.0</v>
      </c>
      <c r="D2410" s="4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</row>
    <row r="2411">
      <c r="A2411" s="9">
        <v>2410.0</v>
      </c>
      <c r="B2411" s="9" t="s">
        <v>5877</v>
      </c>
      <c r="C2411" s="9">
        <v>2397.0</v>
      </c>
      <c r="D2411" s="4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</row>
    <row r="2412">
      <c r="A2412" s="9">
        <v>2411.0</v>
      </c>
      <c r="B2412" s="9" t="s">
        <v>5878</v>
      </c>
      <c r="C2412" s="9">
        <v>2397.0</v>
      </c>
      <c r="D2412" s="4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</row>
    <row r="2413">
      <c r="A2413" s="9">
        <v>2412.0</v>
      </c>
      <c r="B2413" s="9" t="s">
        <v>5879</v>
      </c>
      <c r="C2413" s="9">
        <v>2397.0</v>
      </c>
      <c r="D2413" s="4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</row>
    <row r="2414">
      <c r="A2414" s="9">
        <v>2413.0</v>
      </c>
      <c r="B2414" s="9" t="s">
        <v>5880</v>
      </c>
      <c r="C2414" s="4"/>
      <c r="D2414" s="4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</row>
    <row r="2415">
      <c r="A2415" s="9">
        <v>2414.0</v>
      </c>
      <c r="B2415" s="9" t="s">
        <v>5881</v>
      </c>
      <c r="C2415" s="9">
        <v>2413.0</v>
      </c>
      <c r="D2415" s="4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</row>
    <row r="2416">
      <c r="A2416" s="9">
        <v>2415.0</v>
      </c>
      <c r="B2416" s="9" t="s">
        <v>5882</v>
      </c>
      <c r="C2416" s="4"/>
      <c r="D2416" s="4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</row>
    <row r="2417">
      <c r="A2417" s="9">
        <v>2416.0</v>
      </c>
      <c r="B2417" s="9" t="s">
        <v>5883</v>
      </c>
      <c r="C2417" s="9">
        <v>2415.0</v>
      </c>
      <c r="D2417" s="4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</row>
    <row r="2418">
      <c r="A2418" s="9">
        <v>2417.0</v>
      </c>
      <c r="B2418" s="9" t="s">
        <v>5884</v>
      </c>
      <c r="C2418" s="9">
        <v>2415.0</v>
      </c>
      <c r="D2418" s="4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</row>
    <row r="2419">
      <c r="A2419" s="9">
        <v>2418.0</v>
      </c>
      <c r="B2419" s="9" t="s">
        <v>5885</v>
      </c>
      <c r="C2419" s="9">
        <v>2415.0</v>
      </c>
      <c r="D2419" s="4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</row>
    <row r="2420">
      <c r="A2420" s="9">
        <v>2419.0</v>
      </c>
      <c r="B2420" s="9" t="s">
        <v>5886</v>
      </c>
      <c r="C2420" s="4"/>
      <c r="D2420" s="4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</row>
    <row r="2421">
      <c r="A2421" s="9">
        <v>2420.0</v>
      </c>
      <c r="B2421" s="9" t="s">
        <v>5887</v>
      </c>
      <c r="C2421" s="9">
        <v>2419.0</v>
      </c>
      <c r="D2421" s="4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</row>
    <row r="2422">
      <c r="A2422" s="9">
        <v>2421.0</v>
      </c>
      <c r="B2422" s="9" t="s">
        <v>5888</v>
      </c>
      <c r="C2422" s="9">
        <v>2419.0</v>
      </c>
      <c r="D2422" s="4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</row>
    <row r="2423">
      <c r="A2423" s="9">
        <v>2422.0</v>
      </c>
      <c r="B2423" s="9" t="s">
        <v>5889</v>
      </c>
      <c r="C2423" s="9">
        <v>2419.0</v>
      </c>
      <c r="D2423" s="4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</row>
    <row r="2424">
      <c r="A2424" s="9">
        <v>2423.0</v>
      </c>
      <c r="B2424" s="9" t="s">
        <v>5890</v>
      </c>
      <c r="C2424" s="9">
        <v>2419.0</v>
      </c>
      <c r="D2424" s="4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</row>
    <row r="2425">
      <c r="A2425" s="9">
        <v>2424.0</v>
      </c>
      <c r="B2425" s="9" t="s">
        <v>5891</v>
      </c>
      <c r="C2425" s="9">
        <v>2419.0</v>
      </c>
      <c r="D2425" s="4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</row>
    <row r="2426">
      <c r="A2426" s="9">
        <v>2425.0</v>
      </c>
      <c r="B2426" s="9" t="s">
        <v>5892</v>
      </c>
      <c r="C2426" s="9">
        <v>2419.0</v>
      </c>
      <c r="D2426" s="4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</row>
    <row r="2427">
      <c r="A2427" s="9">
        <v>2426.0</v>
      </c>
      <c r="B2427" s="9" t="s">
        <v>5893</v>
      </c>
      <c r="C2427" s="4"/>
      <c r="D2427" s="4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</row>
    <row r="2428">
      <c r="A2428" s="9">
        <v>2427.0</v>
      </c>
      <c r="B2428" s="9" t="s">
        <v>5894</v>
      </c>
      <c r="C2428" s="9">
        <v>2426.0</v>
      </c>
      <c r="D2428" s="4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</row>
    <row r="2429">
      <c r="A2429" s="9">
        <v>2428.0</v>
      </c>
      <c r="B2429" s="9" t="s">
        <v>5895</v>
      </c>
      <c r="C2429" s="4"/>
      <c r="D2429" s="4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</row>
    <row r="2430">
      <c r="A2430" s="9">
        <v>2429.0</v>
      </c>
      <c r="B2430" s="9" t="s">
        <v>5896</v>
      </c>
      <c r="C2430" s="4"/>
      <c r="D2430" s="4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</row>
    <row r="2431">
      <c r="A2431" s="9">
        <v>2430.0</v>
      </c>
      <c r="B2431" s="9" t="s">
        <v>5897</v>
      </c>
      <c r="C2431" s="9">
        <v>2429.0</v>
      </c>
      <c r="D2431" s="4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</row>
    <row r="2432">
      <c r="A2432" s="9">
        <v>2431.0</v>
      </c>
      <c r="B2432" s="9" t="s">
        <v>5898</v>
      </c>
      <c r="C2432" s="4"/>
      <c r="D2432" s="4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</row>
    <row r="2433">
      <c r="A2433" s="9">
        <v>2432.0</v>
      </c>
      <c r="B2433" s="9" t="s">
        <v>5899</v>
      </c>
      <c r="C2433" s="9">
        <v>2431.0</v>
      </c>
      <c r="D2433" s="4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</row>
    <row r="2434">
      <c r="A2434" s="9">
        <v>2433.0</v>
      </c>
      <c r="B2434" s="9" t="s">
        <v>5900</v>
      </c>
      <c r="C2434" s="9">
        <v>2431.0</v>
      </c>
      <c r="D2434" s="4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</row>
    <row r="2435">
      <c r="A2435" s="9">
        <v>2434.0</v>
      </c>
      <c r="B2435" s="9" t="s">
        <v>5901</v>
      </c>
      <c r="C2435" s="9">
        <v>2431.0</v>
      </c>
      <c r="D2435" s="4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</row>
    <row r="2436">
      <c r="A2436" s="9">
        <v>2435.0</v>
      </c>
      <c r="B2436" s="9" t="s">
        <v>5902</v>
      </c>
      <c r="C2436" s="4"/>
      <c r="D2436" s="4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</row>
    <row r="2437">
      <c r="A2437" s="9">
        <v>2436.0</v>
      </c>
      <c r="B2437" s="9" t="s">
        <v>5903</v>
      </c>
      <c r="C2437" s="4"/>
      <c r="D2437" s="4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</row>
    <row r="2438">
      <c r="A2438" s="9">
        <v>2437.0</v>
      </c>
      <c r="B2438" s="9" t="s">
        <v>5904</v>
      </c>
      <c r="C2438" s="9">
        <v>2436.0</v>
      </c>
      <c r="D2438" s="4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</row>
    <row r="2439">
      <c r="A2439" s="9">
        <v>2438.0</v>
      </c>
      <c r="B2439" s="9" t="s">
        <v>5905</v>
      </c>
      <c r="C2439" s="4"/>
      <c r="D2439" s="4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</row>
    <row r="2440">
      <c r="A2440" s="9">
        <v>2439.0</v>
      </c>
      <c r="B2440" s="9" t="s">
        <v>5906</v>
      </c>
      <c r="C2440" s="9">
        <v>2438.0</v>
      </c>
      <c r="D2440" s="4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</row>
    <row r="2441">
      <c r="A2441" s="9">
        <v>2440.0</v>
      </c>
      <c r="B2441" s="9" t="s">
        <v>5907</v>
      </c>
      <c r="C2441" s="9">
        <v>2438.0</v>
      </c>
      <c r="D2441" s="4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</row>
    <row r="2442">
      <c r="A2442" s="9">
        <v>2441.0</v>
      </c>
      <c r="B2442" s="9" t="s">
        <v>5908</v>
      </c>
      <c r="C2442" s="9">
        <v>2438.0</v>
      </c>
      <c r="D2442" s="4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</row>
    <row r="2443">
      <c r="A2443" s="9">
        <v>2442.0</v>
      </c>
      <c r="B2443" s="9" t="s">
        <v>5909</v>
      </c>
      <c r="C2443" s="9">
        <v>2438.0</v>
      </c>
      <c r="D2443" s="4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</row>
    <row r="2444">
      <c r="A2444" s="9">
        <v>2443.0</v>
      </c>
      <c r="B2444" s="9" t="s">
        <v>5910</v>
      </c>
      <c r="C2444" s="9">
        <v>2438.0</v>
      </c>
      <c r="D2444" s="4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</row>
    <row r="2445">
      <c r="A2445" s="9">
        <v>2444.0</v>
      </c>
      <c r="B2445" s="9" t="s">
        <v>5911</v>
      </c>
      <c r="C2445" s="9">
        <v>2438.0</v>
      </c>
      <c r="D2445" s="4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</row>
    <row r="2446">
      <c r="A2446" s="9">
        <v>2445.0</v>
      </c>
      <c r="B2446" s="9" t="s">
        <v>5912</v>
      </c>
      <c r="C2446" s="9">
        <v>2438.0</v>
      </c>
      <c r="D2446" s="4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</row>
    <row r="2447">
      <c r="A2447" s="9">
        <v>2446.0</v>
      </c>
      <c r="B2447" s="9" t="s">
        <v>5913</v>
      </c>
      <c r="C2447" s="9">
        <v>2438.0</v>
      </c>
      <c r="D2447" s="4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</row>
    <row r="2448">
      <c r="A2448" s="9">
        <v>2447.0</v>
      </c>
      <c r="B2448" s="9" t="s">
        <v>5914</v>
      </c>
      <c r="C2448" s="9">
        <v>2438.0</v>
      </c>
      <c r="D2448" s="4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</row>
    <row r="2449">
      <c r="A2449" s="9">
        <v>2448.0</v>
      </c>
      <c r="B2449" s="9" t="s">
        <v>5915</v>
      </c>
      <c r="C2449" s="9">
        <v>2438.0</v>
      </c>
      <c r="D2449" s="4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</row>
    <row r="2450">
      <c r="A2450" s="9">
        <v>2449.0</v>
      </c>
      <c r="B2450" s="9" t="s">
        <v>5916</v>
      </c>
      <c r="C2450" s="9">
        <v>2438.0</v>
      </c>
      <c r="D2450" s="4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</row>
    <row r="2451">
      <c r="A2451" s="9">
        <v>2450.0</v>
      </c>
      <c r="B2451" s="9" t="s">
        <v>5917</v>
      </c>
      <c r="C2451" s="9">
        <v>2438.0</v>
      </c>
      <c r="D2451" s="4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</row>
    <row r="2452">
      <c r="A2452" s="9">
        <v>2451.0</v>
      </c>
      <c r="B2452" s="9" t="s">
        <v>5918</v>
      </c>
      <c r="C2452" s="9">
        <v>2438.0</v>
      </c>
      <c r="D2452" s="4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</row>
    <row r="2453">
      <c r="A2453" s="9">
        <v>2452.0</v>
      </c>
      <c r="B2453" s="9" t="s">
        <v>5919</v>
      </c>
      <c r="C2453" s="9">
        <v>2438.0</v>
      </c>
      <c r="D2453" s="4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</row>
    <row r="2454">
      <c r="A2454" s="9">
        <v>2453.0</v>
      </c>
      <c r="B2454" s="9" t="s">
        <v>5920</v>
      </c>
      <c r="C2454" s="9">
        <v>2438.0</v>
      </c>
      <c r="D2454" s="4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</row>
    <row r="2455">
      <c r="A2455" s="9">
        <v>2454.0</v>
      </c>
      <c r="B2455" s="9" t="s">
        <v>5921</v>
      </c>
      <c r="C2455" s="9">
        <v>2438.0</v>
      </c>
      <c r="D2455" s="4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</row>
    <row r="2456">
      <c r="A2456" s="9">
        <v>2455.0</v>
      </c>
      <c r="B2456" s="9" t="s">
        <v>5922</v>
      </c>
      <c r="C2456" s="9">
        <v>2438.0</v>
      </c>
      <c r="D2456" s="4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</row>
    <row r="2457">
      <c r="A2457" s="9">
        <v>2456.0</v>
      </c>
      <c r="B2457" s="9" t="s">
        <v>5923</v>
      </c>
      <c r="C2457" s="9">
        <v>2438.0</v>
      </c>
      <c r="D2457" s="4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</row>
    <row r="2458">
      <c r="A2458" s="9">
        <v>2457.0</v>
      </c>
      <c r="B2458" s="9" t="s">
        <v>5924</v>
      </c>
      <c r="C2458" s="9">
        <v>2438.0</v>
      </c>
      <c r="D2458" s="4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</row>
    <row r="2459">
      <c r="A2459" s="9">
        <v>2458.0</v>
      </c>
      <c r="B2459" s="9" t="s">
        <v>5925</v>
      </c>
      <c r="C2459" s="9">
        <v>2438.0</v>
      </c>
      <c r="D2459" s="4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</row>
    <row r="2460">
      <c r="A2460" s="9">
        <v>2459.0</v>
      </c>
      <c r="B2460" s="9" t="s">
        <v>5926</v>
      </c>
      <c r="C2460" s="9">
        <v>2438.0</v>
      </c>
      <c r="D2460" s="4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</row>
    <row r="2461">
      <c r="A2461" s="9">
        <v>2460.0</v>
      </c>
      <c r="B2461" s="9" t="s">
        <v>5927</v>
      </c>
      <c r="C2461" s="9">
        <v>2438.0</v>
      </c>
      <c r="D2461" s="4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</row>
    <row r="2462">
      <c r="A2462" s="9">
        <v>2461.0</v>
      </c>
      <c r="B2462" s="9" t="s">
        <v>5928</v>
      </c>
      <c r="C2462" s="9">
        <v>2438.0</v>
      </c>
      <c r="D2462" s="4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</row>
    <row r="2463">
      <c r="A2463" s="9">
        <v>2462.0</v>
      </c>
      <c r="B2463" s="9" t="s">
        <v>5929</v>
      </c>
      <c r="C2463" s="9">
        <v>2438.0</v>
      </c>
      <c r="D2463" s="4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</row>
    <row r="2464">
      <c r="A2464" s="9">
        <v>2463.0</v>
      </c>
      <c r="B2464" s="9" t="s">
        <v>5930</v>
      </c>
      <c r="C2464" s="9">
        <v>2438.0</v>
      </c>
      <c r="D2464" s="4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</row>
    <row r="2465">
      <c r="A2465" s="9">
        <v>2464.0</v>
      </c>
      <c r="B2465" s="9" t="s">
        <v>5931</v>
      </c>
      <c r="C2465" s="9">
        <v>2438.0</v>
      </c>
      <c r="D2465" s="4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</row>
    <row r="2466">
      <c r="A2466" s="9">
        <v>2465.0</v>
      </c>
      <c r="B2466" s="9" t="s">
        <v>5932</v>
      </c>
      <c r="C2466" s="9">
        <v>2438.0</v>
      </c>
      <c r="D2466" s="4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</row>
    <row r="2467">
      <c r="A2467" s="9">
        <v>2466.0</v>
      </c>
      <c r="B2467" s="9" t="s">
        <v>5933</v>
      </c>
      <c r="C2467" s="9">
        <v>2438.0</v>
      </c>
      <c r="D2467" s="4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</row>
    <row r="2468">
      <c r="A2468" s="9">
        <v>2467.0</v>
      </c>
      <c r="B2468" s="9" t="s">
        <v>5934</v>
      </c>
      <c r="C2468" s="9">
        <v>2438.0</v>
      </c>
      <c r="D2468" s="4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</row>
    <row r="2469">
      <c r="A2469" s="9">
        <v>2468.0</v>
      </c>
      <c r="B2469" s="9" t="s">
        <v>5935</v>
      </c>
      <c r="C2469" s="9">
        <v>2438.0</v>
      </c>
      <c r="D2469" s="4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</row>
    <row r="2470">
      <c r="A2470" s="9">
        <v>2469.0</v>
      </c>
      <c r="B2470" s="9" t="s">
        <v>5936</v>
      </c>
      <c r="C2470" s="9">
        <v>2438.0</v>
      </c>
      <c r="D2470" s="4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</row>
    <row r="2471">
      <c r="A2471" s="9">
        <v>2470.0</v>
      </c>
      <c r="B2471" s="9" t="s">
        <v>5937</v>
      </c>
      <c r="C2471" s="9">
        <v>2438.0</v>
      </c>
      <c r="D2471" s="4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</row>
    <row r="2472">
      <c r="A2472" s="9">
        <v>2471.0</v>
      </c>
      <c r="B2472" s="9" t="s">
        <v>5938</v>
      </c>
      <c r="C2472" s="4"/>
      <c r="D2472" s="4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</row>
    <row r="2473">
      <c r="A2473" s="9">
        <v>2472.0</v>
      </c>
      <c r="B2473" s="9" t="s">
        <v>5939</v>
      </c>
      <c r="C2473" s="9">
        <v>2471.0</v>
      </c>
      <c r="D2473" s="4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</row>
    <row r="2474">
      <c r="A2474" s="9">
        <v>2473.0</v>
      </c>
      <c r="B2474" s="9" t="s">
        <v>5940</v>
      </c>
      <c r="C2474" s="9">
        <v>2471.0</v>
      </c>
      <c r="D2474" s="4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</row>
    <row r="2475">
      <c r="A2475" s="9">
        <v>2474.0</v>
      </c>
      <c r="B2475" s="9" t="s">
        <v>5941</v>
      </c>
      <c r="C2475" s="9">
        <v>2471.0</v>
      </c>
      <c r="D2475" s="4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</row>
    <row r="2476">
      <c r="A2476" s="9">
        <v>2475.0</v>
      </c>
      <c r="B2476" s="9" t="s">
        <v>5942</v>
      </c>
      <c r="C2476" s="9">
        <v>2471.0</v>
      </c>
      <c r="D2476" s="4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</row>
    <row r="2477">
      <c r="A2477" s="9">
        <v>2476.0</v>
      </c>
      <c r="B2477" s="9" t="s">
        <v>5943</v>
      </c>
      <c r="C2477" s="9">
        <v>2471.0</v>
      </c>
      <c r="D2477" s="4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</row>
    <row r="2478">
      <c r="A2478" s="9">
        <v>2477.0</v>
      </c>
      <c r="B2478" s="9" t="s">
        <v>5944</v>
      </c>
      <c r="C2478" s="9">
        <v>2471.0</v>
      </c>
      <c r="D2478" s="4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</row>
    <row r="2479">
      <c r="A2479" s="9">
        <v>2478.0</v>
      </c>
      <c r="B2479" s="9" t="s">
        <v>5945</v>
      </c>
      <c r="C2479" s="9">
        <v>2471.0</v>
      </c>
      <c r="D2479" s="4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</row>
    <row r="2480">
      <c r="A2480" s="9">
        <v>2479.0</v>
      </c>
      <c r="B2480" s="9" t="s">
        <v>5946</v>
      </c>
      <c r="C2480" s="4"/>
      <c r="D2480" s="4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</row>
    <row r="2481">
      <c r="A2481" s="9">
        <v>2480.0</v>
      </c>
      <c r="B2481" s="9" t="s">
        <v>5947</v>
      </c>
      <c r="C2481" s="9">
        <v>2479.0</v>
      </c>
      <c r="D2481" s="4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</row>
    <row r="2482">
      <c r="A2482" s="9">
        <v>2481.0</v>
      </c>
      <c r="B2482" s="9" t="s">
        <v>5948</v>
      </c>
      <c r="C2482" s="9">
        <v>2479.0</v>
      </c>
      <c r="D2482" s="4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</row>
    <row r="2483">
      <c r="A2483" s="9">
        <v>2482.0</v>
      </c>
      <c r="B2483" s="9" t="s">
        <v>5949</v>
      </c>
      <c r="C2483" s="9">
        <v>2479.0</v>
      </c>
      <c r="D2483" s="4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</row>
    <row r="2484">
      <c r="A2484" s="9">
        <v>2483.0</v>
      </c>
      <c r="B2484" s="9" t="s">
        <v>5950</v>
      </c>
      <c r="C2484" s="9">
        <v>2479.0</v>
      </c>
      <c r="D2484" s="4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</row>
    <row r="2485">
      <c r="A2485" s="9">
        <v>2484.0</v>
      </c>
      <c r="B2485" s="9" t="s">
        <v>5951</v>
      </c>
      <c r="C2485" s="9">
        <v>2479.0</v>
      </c>
      <c r="D2485" s="4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</row>
    <row r="2486">
      <c r="A2486" s="9">
        <v>2485.0</v>
      </c>
      <c r="B2486" s="9" t="s">
        <v>5952</v>
      </c>
      <c r="C2486" s="9">
        <v>2479.0</v>
      </c>
      <c r="D2486" s="4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</row>
    <row r="2487">
      <c r="A2487" s="9">
        <v>2486.0</v>
      </c>
      <c r="B2487" s="9" t="s">
        <v>5953</v>
      </c>
      <c r="C2487" s="9">
        <v>2479.0</v>
      </c>
      <c r="D2487" s="4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</row>
    <row r="2488">
      <c r="A2488" s="9">
        <v>2487.0</v>
      </c>
      <c r="B2488" s="9" t="s">
        <v>5954</v>
      </c>
      <c r="C2488" s="9">
        <v>2479.0</v>
      </c>
      <c r="D2488" s="4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</row>
    <row r="2489">
      <c r="A2489" s="9">
        <v>2488.0</v>
      </c>
      <c r="B2489" s="9" t="s">
        <v>5955</v>
      </c>
      <c r="C2489" s="9">
        <v>2479.0</v>
      </c>
      <c r="D2489" s="4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</row>
    <row r="2490">
      <c r="A2490" s="9">
        <v>2489.0</v>
      </c>
      <c r="B2490" s="9" t="s">
        <v>5956</v>
      </c>
      <c r="C2490" s="9">
        <v>2479.0</v>
      </c>
      <c r="D2490" s="4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</row>
    <row r="2491">
      <c r="A2491" s="9">
        <v>2490.0</v>
      </c>
      <c r="B2491" s="9" t="s">
        <v>5957</v>
      </c>
      <c r="C2491" s="9">
        <v>2479.0</v>
      </c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</row>
    <row r="2492">
      <c r="A2492" s="9">
        <v>2491.0</v>
      </c>
      <c r="B2492" s="9" t="s">
        <v>5958</v>
      </c>
      <c r="C2492" s="9">
        <v>2479.0</v>
      </c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</row>
    <row r="2493">
      <c r="A2493" s="9">
        <v>2492.0</v>
      </c>
      <c r="B2493" s="9" t="s">
        <v>5959</v>
      </c>
      <c r="C2493" s="9">
        <v>2479.0</v>
      </c>
      <c r="D2493" s="4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</row>
    <row r="2494">
      <c r="A2494" s="9">
        <v>2493.0</v>
      </c>
      <c r="B2494" s="9" t="s">
        <v>5960</v>
      </c>
      <c r="C2494" s="9">
        <v>2479.0</v>
      </c>
      <c r="D2494" s="4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</row>
    <row r="2495">
      <c r="A2495" s="9">
        <v>2494.0</v>
      </c>
      <c r="B2495" s="9" t="s">
        <v>5961</v>
      </c>
      <c r="C2495" s="9">
        <v>2479.0</v>
      </c>
      <c r="D2495" s="4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</row>
    <row r="2496">
      <c r="A2496" s="9">
        <v>2495.0</v>
      </c>
      <c r="B2496" s="9" t="s">
        <v>5962</v>
      </c>
      <c r="C2496" s="9">
        <v>2479.0</v>
      </c>
      <c r="D2496" s="4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</row>
    <row r="2497">
      <c r="A2497" s="9">
        <v>2496.0</v>
      </c>
      <c r="B2497" s="9" t="s">
        <v>5963</v>
      </c>
      <c r="C2497" s="9">
        <v>2479.0</v>
      </c>
      <c r="D2497" s="4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</row>
    <row r="2498">
      <c r="A2498" s="9">
        <v>2497.0</v>
      </c>
      <c r="B2498" s="9" t="s">
        <v>5964</v>
      </c>
      <c r="C2498" s="9">
        <v>2479.0</v>
      </c>
      <c r="D2498" s="4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</row>
    <row r="2499">
      <c r="A2499" s="9">
        <v>2498.0</v>
      </c>
      <c r="B2499" s="9" t="s">
        <v>5965</v>
      </c>
      <c r="C2499" s="9">
        <v>2479.0</v>
      </c>
      <c r="D2499" s="4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</row>
    <row r="2500">
      <c r="A2500" s="9">
        <v>2499.0</v>
      </c>
      <c r="B2500" s="9" t="s">
        <v>5966</v>
      </c>
      <c r="C2500" s="4"/>
      <c r="D2500" s="4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</row>
    <row r="2501">
      <c r="A2501" s="9">
        <v>2500.0</v>
      </c>
      <c r="B2501" s="9" t="s">
        <v>5967</v>
      </c>
      <c r="C2501" s="9">
        <v>2499.0</v>
      </c>
      <c r="D2501" s="4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</row>
    <row r="2502">
      <c r="A2502" s="9">
        <v>2501.0</v>
      </c>
      <c r="B2502" s="9" t="s">
        <v>5968</v>
      </c>
      <c r="C2502" s="9">
        <v>2499.0</v>
      </c>
      <c r="D2502" s="4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</row>
    <row r="2503">
      <c r="A2503" s="9">
        <v>2502.0</v>
      </c>
      <c r="B2503" s="9" t="s">
        <v>5969</v>
      </c>
      <c r="C2503" s="9">
        <v>2499.0</v>
      </c>
      <c r="D2503" s="4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</row>
    <row r="2504">
      <c r="A2504" s="9">
        <v>2503.0</v>
      </c>
      <c r="B2504" s="9" t="s">
        <v>5970</v>
      </c>
      <c r="C2504" s="4"/>
      <c r="D2504" s="4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</row>
    <row r="2505">
      <c r="A2505" s="9">
        <v>2504.0</v>
      </c>
      <c r="B2505" s="9" t="s">
        <v>5971</v>
      </c>
      <c r="C2505" s="9">
        <v>2503.0</v>
      </c>
      <c r="D2505" s="4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</row>
    <row r="2506">
      <c r="A2506" s="9">
        <v>2505.0</v>
      </c>
      <c r="B2506" s="9" t="s">
        <v>5972</v>
      </c>
      <c r="C2506" s="4"/>
      <c r="D2506" s="4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</row>
    <row r="2507">
      <c r="A2507" s="9">
        <v>2506.0</v>
      </c>
      <c r="B2507" s="9" t="s">
        <v>5973</v>
      </c>
      <c r="C2507" s="9">
        <v>2505.0</v>
      </c>
      <c r="D2507" s="4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</row>
    <row r="2508">
      <c r="A2508" s="9">
        <v>2507.0</v>
      </c>
      <c r="B2508" s="9" t="s">
        <v>5974</v>
      </c>
      <c r="C2508" s="9">
        <v>2505.0</v>
      </c>
      <c r="D2508" s="4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</row>
    <row r="2509">
      <c r="A2509" s="9">
        <v>2508.0</v>
      </c>
      <c r="B2509" s="9" t="s">
        <v>5975</v>
      </c>
      <c r="C2509" s="4"/>
      <c r="D2509" s="4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</row>
    <row r="2510">
      <c r="A2510" s="9">
        <v>2509.0</v>
      </c>
      <c r="B2510" s="9" t="s">
        <v>5976</v>
      </c>
      <c r="C2510" s="9">
        <v>2508.0</v>
      </c>
      <c r="D2510" s="4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</row>
    <row r="2511">
      <c r="A2511" s="9">
        <v>2510.0</v>
      </c>
      <c r="B2511" s="9" t="s">
        <v>5977</v>
      </c>
      <c r="C2511" s="4"/>
      <c r="D2511" s="4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</row>
    <row r="2512">
      <c r="A2512" s="9">
        <v>2511.0</v>
      </c>
      <c r="B2512" s="9" t="s">
        <v>5978</v>
      </c>
      <c r="C2512" s="9">
        <v>2510.0</v>
      </c>
      <c r="D2512" s="4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</row>
    <row r="2513">
      <c r="A2513" s="9">
        <v>2512.0</v>
      </c>
      <c r="B2513" s="9" t="s">
        <v>5979</v>
      </c>
      <c r="C2513" s="4"/>
      <c r="D2513" s="4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</row>
    <row r="2514">
      <c r="A2514" s="9">
        <v>2513.0</v>
      </c>
      <c r="B2514" s="9" t="s">
        <v>5980</v>
      </c>
      <c r="C2514" s="9">
        <v>2512.0</v>
      </c>
      <c r="D2514" s="4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</row>
    <row r="2515">
      <c r="A2515" s="9">
        <v>2514.0</v>
      </c>
      <c r="B2515" s="9" t="s">
        <v>5981</v>
      </c>
      <c r="C2515" s="9">
        <v>2512.0</v>
      </c>
      <c r="D2515" s="4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</row>
    <row r="2516">
      <c r="A2516" s="9">
        <v>2515.0</v>
      </c>
      <c r="B2516" s="9" t="s">
        <v>5982</v>
      </c>
      <c r="C2516" s="9">
        <v>2512.0</v>
      </c>
      <c r="D2516" s="4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</row>
    <row r="2517">
      <c r="A2517" s="9">
        <v>2516.0</v>
      </c>
      <c r="B2517" s="9" t="s">
        <v>5983</v>
      </c>
      <c r="C2517" s="9">
        <v>2512.0</v>
      </c>
      <c r="D2517" s="4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</row>
    <row r="2518">
      <c r="A2518" s="9">
        <v>2517.0</v>
      </c>
      <c r="B2518" s="9" t="s">
        <v>5984</v>
      </c>
      <c r="C2518" s="4"/>
      <c r="D2518" s="4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</row>
    <row r="2519">
      <c r="A2519" s="9">
        <v>2518.0</v>
      </c>
      <c r="B2519" s="9" t="s">
        <v>5985</v>
      </c>
      <c r="C2519" s="9">
        <v>2517.0</v>
      </c>
      <c r="D2519" s="4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</row>
    <row r="2520">
      <c r="A2520" s="9">
        <v>2519.0</v>
      </c>
      <c r="B2520" s="9" t="s">
        <v>5986</v>
      </c>
      <c r="C2520" s="9">
        <v>2517.0</v>
      </c>
      <c r="D2520" s="4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</row>
    <row r="2521">
      <c r="A2521" s="9">
        <v>2520.0</v>
      </c>
      <c r="B2521" s="9" t="s">
        <v>5987</v>
      </c>
      <c r="C2521" s="9">
        <v>2517.0</v>
      </c>
      <c r="D2521" s="4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</row>
    <row r="2522">
      <c r="A2522" s="9">
        <v>2521.0</v>
      </c>
      <c r="B2522" s="9" t="s">
        <v>5988</v>
      </c>
      <c r="C2522" s="9">
        <v>2517.0</v>
      </c>
      <c r="D2522" s="4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</row>
    <row r="2523">
      <c r="A2523" s="9">
        <v>2522.0</v>
      </c>
      <c r="B2523" s="9" t="s">
        <v>5989</v>
      </c>
      <c r="C2523" s="9">
        <v>2517.0</v>
      </c>
      <c r="D2523" s="4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</row>
    <row r="2524">
      <c r="A2524" s="9">
        <v>2523.0</v>
      </c>
      <c r="B2524" s="9" t="s">
        <v>5990</v>
      </c>
      <c r="C2524" s="9">
        <v>2517.0</v>
      </c>
      <c r="D2524" s="4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</row>
    <row r="2525">
      <c r="A2525" s="9">
        <v>2524.0</v>
      </c>
      <c r="B2525" s="9" t="s">
        <v>5991</v>
      </c>
      <c r="C2525" s="9">
        <v>2517.0</v>
      </c>
      <c r="D2525" s="4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</row>
    <row r="2526">
      <c r="A2526" s="9">
        <v>2525.0</v>
      </c>
      <c r="B2526" s="9" t="s">
        <v>5992</v>
      </c>
      <c r="C2526" s="9">
        <v>2517.0</v>
      </c>
      <c r="D2526" s="4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</row>
    <row r="2527">
      <c r="A2527" s="9">
        <v>2526.0</v>
      </c>
      <c r="B2527" s="9" t="s">
        <v>5993</v>
      </c>
      <c r="C2527" s="4"/>
      <c r="D2527" s="4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</row>
    <row r="2528">
      <c r="A2528" s="9">
        <v>2527.0</v>
      </c>
      <c r="B2528" s="9" t="s">
        <v>5994</v>
      </c>
      <c r="C2528" s="9">
        <v>2526.0</v>
      </c>
      <c r="D2528" s="4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</row>
    <row r="2529">
      <c r="A2529" s="9">
        <v>2528.0</v>
      </c>
      <c r="B2529" s="9" t="s">
        <v>5995</v>
      </c>
      <c r="C2529" s="4"/>
      <c r="D2529" s="4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</row>
    <row r="2530">
      <c r="A2530" s="9">
        <v>2529.0</v>
      </c>
      <c r="B2530" s="9" t="s">
        <v>5996</v>
      </c>
      <c r="C2530" s="9">
        <v>2528.0</v>
      </c>
      <c r="D2530" s="4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</row>
    <row r="2531">
      <c r="A2531" s="9">
        <v>2530.0</v>
      </c>
      <c r="B2531" s="9" t="s">
        <v>5997</v>
      </c>
      <c r="C2531" s="9">
        <v>2528.0</v>
      </c>
      <c r="D2531" s="4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</row>
    <row r="2532">
      <c r="A2532" s="9">
        <v>2531.0</v>
      </c>
      <c r="B2532" s="9" t="s">
        <v>5998</v>
      </c>
      <c r="C2532" s="9">
        <v>2528.0</v>
      </c>
      <c r="D2532" s="4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</row>
    <row r="2533">
      <c r="A2533" s="9">
        <v>2532.0</v>
      </c>
      <c r="B2533" s="9" t="s">
        <v>5999</v>
      </c>
      <c r="C2533" s="9">
        <v>2528.0</v>
      </c>
      <c r="D2533" s="4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</row>
    <row r="2534">
      <c r="A2534" s="9">
        <v>2533.0</v>
      </c>
      <c r="B2534" s="9" t="s">
        <v>6000</v>
      </c>
      <c r="C2534" s="9">
        <v>2528.0</v>
      </c>
      <c r="D2534" s="4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</row>
    <row r="2535">
      <c r="A2535" s="9">
        <v>2534.0</v>
      </c>
      <c r="B2535" s="9" t="s">
        <v>6001</v>
      </c>
      <c r="C2535" s="9">
        <v>2528.0</v>
      </c>
      <c r="D2535" s="4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</row>
    <row r="2536">
      <c r="A2536" s="9">
        <v>2535.0</v>
      </c>
      <c r="B2536" s="9" t="s">
        <v>6002</v>
      </c>
      <c r="C2536" s="9">
        <v>2528.0</v>
      </c>
      <c r="D2536" s="4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</row>
    <row r="2537">
      <c r="A2537" s="9">
        <v>2536.0</v>
      </c>
      <c r="B2537" s="9" t="s">
        <v>6003</v>
      </c>
      <c r="C2537" s="9">
        <v>2528.0</v>
      </c>
      <c r="D2537" s="4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</row>
    <row r="2538">
      <c r="A2538" s="9">
        <v>2537.0</v>
      </c>
      <c r="B2538" s="9" t="s">
        <v>6004</v>
      </c>
      <c r="C2538" s="9">
        <v>2528.0</v>
      </c>
      <c r="D2538" s="4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</row>
    <row r="2539">
      <c r="A2539" s="9">
        <v>2538.0</v>
      </c>
      <c r="B2539" s="9" t="s">
        <v>6005</v>
      </c>
      <c r="C2539" s="9">
        <v>2528.0</v>
      </c>
      <c r="D2539" s="4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</row>
    <row r="2540">
      <c r="A2540" s="9">
        <v>2539.0</v>
      </c>
      <c r="B2540" s="9" t="s">
        <v>6006</v>
      </c>
      <c r="C2540" s="9">
        <v>2528.0</v>
      </c>
      <c r="D2540" s="4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</row>
    <row r="2541">
      <c r="A2541" s="9">
        <v>2540.0</v>
      </c>
      <c r="B2541" s="9" t="s">
        <v>6007</v>
      </c>
      <c r="C2541" s="9">
        <v>2528.0</v>
      </c>
      <c r="D2541" s="4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</row>
    <row r="2542">
      <c r="A2542" s="9">
        <v>2541.0</v>
      </c>
      <c r="B2542" s="9" t="s">
        <v>6008</v>
      </c>
      <c r="C2542" s="9">
        <v>2528.0</v>
      </c>
      <c r="D2542" s="4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</row>
    <row r="2543">
      <c r="A2543" s="9">
        <v>2542.0</v>
      </c>
      <c r="B2543" s="9" t="s">
        <v>6009</v>
      </c>
      <c r="C2543" s="9">
        <v>2528.0</v>
      </c>
      <c r="D2543" s="4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</row>
    <row r="2544">
      <c r="A2544" s="9">
        <v>2543.0</v>
      </c>
      <c r="B2544" s="9" t="s">
        <v>6010</v>
      </c>
      <c r="C2544" s="9">
        <v>2528.0</v>
      </c>
      <c r="D2544" s="4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</row>
    <row r="2545">
      <c r="A2545" s="9">
        <v>2544.0</v>
      </c>
      <c r="B2545" s="9" t="s">
        <v>6011</v>
      </c>
      <c r="C2545" s="9">
        <v>2528.0</v>
      </c>
      <c r="D2545" s="4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</row>
    <row r="2546">
      <c r="A2546" s="9">
        <v>2545.0</v>
      </c>
      <c r="B2546" s="9" t="s">
        <v>6012</v>
      </c>
      <c r="C2546" s="9">
        <v>2528.0</v>
      </c>
      <c r="D2546" s="4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</row>
    <row r="2547">
      <c r="A2547" s="9">
        <v>2546.0</v>
      </c>
      <c r="B2547" s="9" t="s">
        <v>6013</v>
      </c>
      <c r="C2547" s="9">
        <v>2528.0</v>
      </c>
      <c r="D2547" s="4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</row>
    <row r="2548">
      <c r="A2548" s="9">
        <v>2547.0</v>
      </c>
      <c r="B2548" s="9" t="s">
        <v>6014</v>
      </c>
      <c r="C2548" s="9">
        <v>2528.0</v>
      </c>
      <c r="D2548" s="4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</row>
    <row r="2549">
      <c r="A2549" s="9">
        <v>2548.0</v>
      </c>
      <c r="B2549" s="9" t="s">
        <v>6015</v>
      </c>
      <c r="C2549" s="9">
        <v>2528.0</v>
      </c>
      <c r="D2549" s="4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</row>
    <row r="2550">
      <c r="A2550" s="9">
        <v>2549.0</v>
      </c>
      <c r="B2550" s="9" t="s">
        <v>6016</v>
      </c>
      <c r="C2550" s="9">
        <v>2528.0</v>
      </c>
      <c r="D2550" s="4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</row>
    <row r="2551">
      <c r="A2551" s="9">
        <v>2550.0</v>
      </c>
      <c r="B2551" s="9" t="s">
        <v>6017</v>
      </c>
      <c r="C2551" s="9">
        <v>2528.0</v>
      </c>
      <c r="D2551" s="4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</row>
    <row r="2552">
      <c r="A2552" s="9">
        <v>2551.0</v>
      </c>
      <c r="B2552" s="9" t="s">
        <v>6018</v>
      </c>
      <c r="C2552" s="9">
        <v>2528.0</v>
      </c>
      <c r="D2552" s="4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</row>
    <row r="2553">
      <c r="A2553" s="9">
        <v>2552.0</v>
      </c>
      <c r="B2553" s="9" t="s">
        <v>6019</v>
      </c>
      <c r="C2553" s="9">
        <v>2528.0</v>
      </c>
      <c r="D2553" s="4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</row>
    <row r="2554">
      <c r="A2554" s="9">
        <v>2553.0</v>
      </c>
      <c r="B2554" s="9" t="s">
        <v>6020</v>
      </c>
      <c r="C2554" s="9">
        <v>2528.0</v>
      </c>
      <c r="D2554" s="4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</row>
    <row r="2555">
      <c r="A2555" s="9">
        <v>2554.0</v>
      </c>
      <c r="B2555" s="9" t="s">
        <v>6021</v>
      </c>
      <c r="C2555" s="9">
        <v>2528.0</v>
      </c>
      <c r="D2555" s="4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</row>
    <row r="2556">
      <c r="A2556" s="9">
        <v>2555.0</v>
      </c>
      <c r="B2556" s="9" t="s">
        <v>6022</v>
      </c>
      <c r="C2556" s="9">
        <v>2528.0</v>
      </c>
      <c r="D2556" s="4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</row>
    <row r="2557">
      <c r="A2557" s="9">
        <v>2556.0</v>
      </c>
      <c r="B2557" s="9" t="s">
        <v>6023</v>
      </c>
      <c r="C2557" s="9">
        <v>2528.0</v>
      </c>
      <c r="D2557" s="4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</row>
    <row r="2558">
      <c r="A2558" s="9">
        <v>2557.0</v>
      </c>
      <c r="B2558" s="9" t="s">
        <v>6024</v>
      </c>
      <c r="C2558" s="9">
        <v>2528.0</v>
      </c>
      <c r="D2558" s="4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</row>
    <row r="2559">
      <c r="A2559" s="9">
        <v>2558.0</v>
      </c>
      <c r="B2559" s="9" t="s">
        <v>6025</v>
      </c>
      <c r="C2559" s="9">
        <v>2528.0</v>
      </c>
      <c r="D2559" s="4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</row>
    <row r="2560">
      <c r="A2560" s="9">
        <v>2559.0</v>
      </c>
      <c r="B2560" s="9" t="s">
        <v>6026</v>
      </c>
      <c r="C2560" s="9">
        <v>2528.0</v>
      </c>
      <c r="D2560" s="4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</row>
    <row r="2561">
      <c r="A2561" s="9">
        <v>2560.0</v>
      </c>
      <c r="B2561" s="9" t="s">
        <v>6027</v>
      </c>
      <c r="C2561" s="9">
        <v>2528.0</v>
      </c>
      <c r="D2561" s="4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</row>
    <row r="2562">
      <c r="A2562" s="9">
        <v>2561.0</v>
      </c>
      <c r="B2562" s="9" t="s">
        <v>6028</v>
      </c>
      <c r="C2562" s="9">
        <v>2528.0</v>
      </c>
      <c r="D2562" s="4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</row>
    <row r="2563">
      <c r="A2563" s="9">
        <v>2562.0</v>
      </c>
      <c r="B2563" s="9" t="s">
        <v>6029</v>
      </c>
      <c r="C2563" s="9">
        <v>2528.0</v>
      </c>
      <c r="D2563" s="4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</row>
    <row r="2564">
      <c r="A2564" s="9">
        <v>2563.0</v>
      </c>
      <c r="B2564" s="9" t="s">
        <v>6030</v>
      </c>
      <c r="C2564" s="9">
        <v>2528.0</v>
      </c>
      <c r="D2564" s="4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</row>
    <row r="2565">
      <c r="A2565" s="9">
        <v>2564.0</v>
      </c>
      <c r="B2565" s="9" t="s">
        <v>6031</v>
      </c>
      <c r="C2565" s="9">
        <v>2528.0</v>
      </c>
      <c r="D2565" s="4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</row>
    <row r="2566">
      <c r="A2566" s="9">
        <v>2565.0</v>
      </c>
      <c r="B2566" s="9" t="s">
        <v>6032</v>
      </c>
      <c r="C2566" s="9">
        <v>2528.0</v>
      </c>
      <c r="D2566" s="4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</row>
    <row r="2567">
      <c r="A2567" s="9">
        <v>2566.0</v>
      </c>
      <c r="B2567" s="9" t="s">
        <v>6033</v>
      </c>
      <c r="C2567" s="9">
        <v>2528.0</v>
      </c>
      <c r="D2567" s="4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</row>
    <row r="2568">
      <c r="A2568" s="9">
        <v>2567.0</v>
      </c>
      <c r="B2568" s="9" t="s">
        <v>6034</v>
      </c>
      <c r="C2568" s="9">
        <v>2528.0</v>
      </c>
      <c r="D2568" s="4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</row>
    <row r="2569">
      <c r="A2569" s="9">
        <v>2568.0</v>
      </c>
      <c r="B2569" s="9" t="s">
        <v>6035</v>
      </c>
      <c r="C2569" s="4"/>
      <c r="D2569" s="4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</row>
    <row r="2570">
      <c r="A2570" s="9">
        <v>2569.0</v>
      </c>
      <c r="B2570" s="9" t="s">
        <v>6036</v>
      </c>
      <c r="C2570" s="9">
        <v>2568.0</v>
      </c>
      <c r="D2570" s="4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</row>
    <row r="2571">
      <c r="A2571" s="9">
        <v>2570.0</v>
      </c>
      <c r="B2571" s="9" t="s">
        <v>6037</v>
      </c>
      <c r="C2571" s="9">
        <v>2568.0</v>
      </c>
      <c r="D2571" s="4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</row>
    <row r="2572">
      <c r="A2572" s="9">
        <v>2571.0</v>
      </c>
      <c r="B2572" s="9" t="s">
        <v>6038</v>
      </c>
      <c r="C2572" s="9">
        <v>2568.0</v>
      </c>
      <c r="D2572" s="4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</row>
    <row r="2573">
      <c r="A2573" s="9">
        <v>2572.0</v>
      </c>
      <c r="B2573" s="9" t="s">
        <v>6039</v>
      </c>
      <c r="C2573" s="9">
        <v>2568.0</v>
      </c>
      <c r="D2573" s="4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</row>
    <row r="2574">
      <c r="A2574" s="9">
        <v>2573.0</v>
      </c>
      <c r="B2574" s="9" t="s">
        <v>6040</v>
      </c>
      <c r="C2574" s="9">
        <v>2568.0</v>
      </c>
      <c r="D2574" s="4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</row>
    <row r="2575">
      <c r="A2575" s="9">
        <v>2574.0</v>
      </c>
      <c r="B2575" s="9" t="s">
        <v>6041</v>
      </c>
      <c r="C2575" s="9">
        <v>2568.0</v>
      </c>
      <c r="D2575" s="4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</row>
    <row r="2576">
      <c r="A2576" s="9">
        <v>2575.0</v>
      </c>
      <c r="B2576" s="9" t="s">
        <v>6042</v>
      </c>
      <c r="C2576" s="4"/>
      <c r="D2576" s="4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</row>
    <row r="2577">
      <c r="A2577" s="9">
        <v>2576.0</v>
      </c>
      <c r="B2577" s="9" t="s">
        <v>6043</v>
      </c>
      <c r="C2577" s="9">
        <v>2575.0</v>
      </c>
      <c r="D2577" s="4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</row>
    <row r="2578">
      <c r="A2578" s="9">
        <v>2577.0</v>
      </c>
      <c r="B2578" s="9" t="s">
        <v>6044</v>
      </c>
      <c r="C2578" s="9">
        <v>2575.0</v>
      </c>
      <c r="D2578" s="4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</row>
    <row r="2579">
      <c r="A2579" s="9">
        <v>2578.0</v>
      </c>
      <c r="B2579" s="9" t="s">
        <v>6045</v>
      </c>
      <c r="C2579" s="9">
        <v>2575.0</v>
      </c>
      <c r="D2579" s="4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</row>
    <row r="2580">
      <c r="A2580" s="9">
        <v>2579.0</v>
      </c>
      <c r="B2580" s="9" t="s">
        <v>6046</v>
      </c>
      <c r="C2580" s="9">
        <v>2575.0</v>
      </c>
      <c r="D2580" s="4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</row>
    <row r="2581">
      <c r="A2581" s="9">
        <v>2580.0</v>
      </c>
      <c r="B2581" s="9" t="s">
        <v>6047</v>
      </c>
      <c r="C2581" s="9">
        <v>2575.0</v>
      </c>
      <c r="D2581" s="4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</row>
    <row r="2582">
      <c r="A2582" s="9">
        <v>2581.0</v>
      </c>
      <c r="B2582" s="9" t="s">
        <v>6048</v>
      </c>
      <c r="C2582" s="9">
        <v>2575.0</v>
      </c>
      <c r="D2582" s="4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</row>
    <row r="2583">
      <c r="A2583" s="9">
        <v>2582.0</v>
      </c>
      <c r="B2583" s="9" t="s">
        <v>6049</v>
      </c>
      <c r="C2583" s="9">
        <v>2575.0</v>
      </c>
      <c r="D2583" s="4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</row>
    <row r="2584">
      <c r="A2584" s="9">
        <v>2583.0</v>
      </c>
      <c r="B2584" s="9" t="s">
        <v>6050</v>
      </c>
      <c r="C2584" s="9">
        <v>2575.0</v>
      </c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</row>
    <row r="2585">
      <c r="A2585" s="9">
        <v>2584.0</v>
      </c>
      <c r="B2585" s="9" t="s">
        <v>6051</v>
      </c>
      <c r="C2585" s="9">
        <v>2575.0</v>
      </c>
      <c r="D2585" s="4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</row>
    <row r="2586">
      <c r="A2586" s="9">
        <v>2585.0</v>
      </c>
      <c r="B2586" s="9" t="s">
        <v>6052</v>
      </c>
      <c r="C2586" s="9">
        <v>2575.0</v>
      </c>
      <c r="D2586" s="4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</row>
    <row r="2587">
      <c r="A2587" s="9">
        <v>2586.0</v>
      </c>
      <c r="B2587" s="9" t="s">
        <v>6053</v>
      </c>
      <c r="C2587" s="9">
        <v>2575.0</v>
      </c>
      <c r="D2587" s="4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</row>
    <row r="2588">
      <c r="A2588" s="9">
        <v>2587.0</v>
      </c>
      <c r="B2588" s="9" t="s">
        <v>6054</v>
      </c>
      <c r="C2588" s="9">
        <v>2575.0</v>
      </c>
      <c r="D2588" s="4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</row>
    <row r="2589">
      <c r="A2589" s="9">
        <v>2588.0</v>
      </c>
      <c r="B2589" s="9" t="s">
        <v>6055</v>
      </c>
      <c r="C2589" s="9">
        <v>2575.0</v>
      </c>
      <c r="D2589" s="4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</row>
    <row r="2590">
      <c r="A2590" s="9">
        <v>2589.0</v>
      </c>
      <c r="B2590" s="9" t="s">
        <v>6056</v>
      </c>
      <c r="C2590" s="9">
        <v>2575.0</v>
      </c>
      <c r="D2590" s="4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</row>
    <row r="2591">
      <c r="A2591" s="9">
        <v>2590.0</v>
      </c>
      <c r="B2591" s="9" t="s">
        <v>6057</v>
      </c>
      <c r="C2591" s="9">
        <v>2575.0</v>
      </c>
      <c r="D2591" s="4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</row>
    <row r="2592">
      <c r="A2592" s="9">
        <v>2591.0</v>
      </c>
      <c r="B2592" s="9" t="s">
        <v>6058</v>
      </c>
      <c r="C2592" s="9">
        <v>2575.0</v>
      </c>
      <c r="D2592" s="4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</row>
    <row r="2593">
      <c r="A2593" s="9">
        <v>2592.0</v>
      </c>
      <c r="B2593" s="9" t="s">
        <v>6059</v>
      </c>
      <c r="C2593" s="9">
        <v>2575.0</v>
      </c>
      <c r="D2593" s="4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</row>
    <row r="2594">
      <c r="A2594" s="9">
        <v>2593.0</v>
      </c>
      <c r="B2594" s="9" t="s">
        <v>6060</v>
      </c>
      <c r="C2594" s="9">
        <v>2575.0</v>
      </c>
      <c r="D2594" s="4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</row>
    <row r="2595">
      <c r="A2595" s="9">
        <v>2594.0</v>
      </c>
      <c r="B2595" s="9" t="s">
        <v>6061</v>
      </c>
      <c r="C2595" s="9">
        <v>2575.0</v>
      </c>
      <c r="D2595" s="4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</row>
    <row r="2596">
      <c r="A2596" s="9">
        <v>2595.0</v>
      </c>
      <c r="B2596" s="9" t="s">
        <v>6062</v>
      </c>
      <c r="C2596" s="4"/>
      <c r="D2596" s="4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</row>
    <row r="2597">
      <c r="A2597" s="9">
        <v>2596.0</v>
      </c>
      <c r="B2597" s="9" t="s">
        <v>6063</v>
      </c>
      <c r="C2597" s="9">
        <v>2595.0</v>
      </c>
      <c r="D2597" s="4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</row>
    <row r="2598">
      <c r="A2598" s="9">
        <v>2597.0</v>
      </c>
      <c r="B2598" s="9" t="s">
        <v>6064</v>
      </c>
      <c r="C2598" s="9">
        <v>2595.0</v>
      </c>
      <c r="D2598" s="4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</row>
    <row r="2599">
      <c r="A2599" s="9">
        <v>2598.0</v>
      </c>
      <c r="B2599" s="9" t="s">
        <v>6065</v>
      </c>
      <c r="C2599" s="9">
        <v>2595.0</v>
      </c>
      <c r="D2599" s="4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</row>
    <row r="2600">
      <c r="A2600" s="9">
        <v>2599.0</v>
      </c>
      <c r="B2600" s="9" t="s">
        <v>6066</v>
      </c>
      <c r="C2600" s="9">
        <v>2595.0</v>
      </c>
      <c r="D2600" s="4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</row>
    <row r="2601">
      <c r="A2601" s="9">
        <v>2600.0</v>
      </c>
      <c r="B2601" s="9" t="s">
        <v>6067</v>
      </c>
      <c r="C2601" s="9">
        <v>2595.0</v>
      </c>
      <c r="D2601" s="4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</row>
    <row r="2602">
      <c r="A2602" s="9">
        <v>2601.0</v>
      </c>
      <c r="B2602" s="9" t="s">
        <v>6068</v>
      </c>
      <c r="C2602" s="9">
        <v>2595.0</v>
      </c>
      <c r="D2602" s="4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</row>
    <row r="2603">
      <c r="A2603" s="9">
        <v>2602.0</v>
      </c>
      <c r="B2603" s="9" t="s">
        <v>6069</v>
      </c>
      <c r="C2603" s="9">
        <v>2595.0</v>
      </c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</row>
    <row r="2604">
      <c r="A2604" s="9">
        <v>2603.0</v>
      </c>
      <c r="B2604" s="9" t="s">
        <v>6070</v>
      </c>
      <c r="C2604" s="9">
        <v>2595.0</v>
      </c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</row>
    <row r="2605">
      <c r="A2605" s="9">
        <v>2604.0</v>
      </c>
      <c r="B2605" s="9" t="s">
        <v>6071</v>
      </c>
      <c r="C2605" s="9">
        <v>2595.0</v>
      </c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</row>
    <row r="2606">
      <c r="A2606" s="9">
        <v>2605.0</v>
      </c>
      <c r="B2606" s="9" t="s">
        <v>6072</v>
      </c>
      <c r="C2606" s="4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</row>
    <row r="2607">
      <c r="A2607" s="9">
        <v>2606.0</v>
      </c>
      <c r="B2607" s="9" t="s">
        <v>6073</v>
      </c>
      <c r="C2607" s="9">
        <v>2605.0</v>
      </c>
      <c r="D2607" s="4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</row>
    <row r="2608">
      <c r="A2608" s="9">
        <v>2607.0</v>
      </c>
      <c r="B2608" s="9" t="s">
        <v>6074</v>
      </c>
      <c r="C2608" s="9">
        <v>2605.0</v>
      </c>
      <c r="D2608" s="4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</row>
    <row r="2609">
      <c r="A2609" s="9">
        <v>2608.0</v>
      </c>
      <c r="B2609" s="9" t="s">
        <v>6075</v>
      </c>
      <c r="C2609" s="9">
        <v>2605.0</v>
      </c>
      <c r="D2609" s="4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</row>
    <row r="2610">
      <c r="A2610" s="9">
        <v>2609.0</v>
      </c>
      <c r="B2610" s="9" t="s">
        <v>6076</v>
      </c>
      <c r="C2610" s="9">
        <v>2605.0</v>
      </c>
      <c r="D2610" s="4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</row>
    <row r="2611">
      <c r="A2611" s="9">
        <v>2610.0</v>
      </c>
      <c r="B2611" s="9" t="s">
        <v>6077</v>
      </c>
      <c r="C2611" s="9">
        <v>2605.0</v>
      </c>
      <c r="D2611" s="4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</row>
    <row r="2612">
      <c r="A2612" s="9">
        <v>2611.0</v>
      </c>
      <c r="B2612" s="9" t="s">
        <v>6078</v>
      </c>
      <c r="C2612" s="9">
        <v>2605.0</v>
      </c>
      <c r="D2612" s="4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</row>
    <row r="2613">
      <c r="A2613" s="9">
        <v>2612.0</v>
      </c>
      <c r="B2613" s="9" t="s">
        <v>6079</v>
      </c>
      <c r="C2613" s="9">
        <v>2605.0</v>
      </c>
      <c r="D2613" s="4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</row>
    <row r="2614">
      <c r="A2614" s="9">
        <v>2613.0</v>
      </c>
      <c r="B2614" s="9" t="s">
        <v>6080</v>
      </c>
      <c r="C2614" s="4"/>
      <c r="D2614" s="4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</row>
    <row r="2615">
      <c r="A2615" s="9">
        <v>2614.0</v>
      </c>
      <c r="B2615" s="9" t="s">
        <v>6081</v>
      </c>
      <c r="C2615" s="9">
        <v>2613.0</v>
      </c>
      <c r="D2615" s="4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</row>
    <row r="2616">
      <c r="A2616" s="9">
        <v>2615.0</v>
      </c>
      <c r="B2616" s="9" t="s">
        <v>6082</v>
      </c>
      <c r="C2616" s="9">
        <v>2613.0</v>
      </c>
      <c r="D2616" s="4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</row>
    <row r="2617">
      <c r="A2617" s="9">
        <v>2616.0</v>
      </c>
      <c r="B2617" s="9" t="s">
        <v>6083</v>
      </c>
      <c r="C2617" s="9">
        <v>2613.0</v>
      </c>
      <c r="D2617" s="4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</row>
    <row r="2618">
      <c r="A2618" s="9">
        <v>2617.0</v>
      </c>
      <c r="B2618" s="9" t="s">
        <v>6084</v>
      </c>
      <c r="C2618" s="9">
        <v>2613.0</v>
      </c>
      <c r="D2618" s="4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</row>
    <row r="2619">
      <c r="A2619" s="9">
        <v>2618.0</v>
      </c>
      <c r="B2619" s="9" t="s">
        <v>6085</v>
      </c>
      <c r="C2619" s="9">
        <v>2613.0</v>
      </c>
      <c r="D2619" s="4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</row>
    <row r="2620">
      <c r="A2620" s="9">
        <v>2619.0</v>
      </c>
      <c r="B2620" s="9" t="s">
        <v>6086</v>
      </c>
      <c r="C2620" s="9">
        <v>2613.0</v>
      </c>
      <c r="D2620" s="4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</row>
    <row r="2621">
      <c r="A2621" s="9">
        <v>2620.0</v>
      </c>
      <c r="B2621" s="9" t="s">
        <v>6087</v>
      </c>
      <c r="C2621" s="4"/>
      <c r="D2621" s="4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</row>
    <row r="2622">
      <c r="A2622" s="9">
        <v>2621.0</v>
      </c>
      <c r="B2622" s="9" t="s">
        <v>6088</v>
      </c>
      <c r="C2622" s="9">
        <v>2620.0</v>
      </c>
      <c r="D2622" s="4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</row>
    <row r="2623">
      <c r="A2623" s="9">
        <v>2622.0</v>
      </c>
      <c r="B2623" s="9" t="s">
        <v>6089</v>
      </c>
      <c r="C2623" s="9">
        <v>2620.0</v>
      </c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</row>
    <row r="2624">
      <c r="A2624" s="9">
        <v>2623.0</v>
      </c>
      <c r="B2624" s="9" t="s">
        <v>6090</v>
      </c>
      <c r="C2624" s="9">
        <v>2620.0</v>
      </c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</row>
    <row r="2625">
      <c r="A2625" s="9">
        <v>2624.0</v>
      </c>
      <c r="B2625" s="9" t="s">
        <v>6091</v>
      </c>
      <c r="C2625" s="4"/>
      <c r="D2625" s="4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</row>
    <row r="2626">
      <c r="A2626" s="9">
        <v>2625.0</v>
      </c>
      <c r="B2626" s="9" t="s">
        <v>6092</v>
      </c>
      <c r="C2626" s="9">
        <v>2624.0</v>
      </c>
      <c r="D2626" s="4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</row>
    <row r="2627">
      <c r="A2627" s="9">
        <v>2626.0</v>
      </c>
      <c r="B2627" s="9" t="s">
        <v>6093</v>
      </c>
      <c r="C2627" s="9">
        <v>2624.0</v>
      </c>
      <c r="D2627" s="4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</row>
    <row r="2628">
      <c r="A2628" s="9">
        <v>2627.0</v>
      </c>
      <c r="B2628" s="9" t="s">
        <v>6094</v>
      </c>
      <c r="C2628" s="9">
        <v>2624.0</v>
      </c>
      <c r="D2628" s="4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</row>
    <row r="2629">
      <c r="A2629" s="9">
        <v>2628.0</v>
      </c>
      <c r="B2629" s="9" t="s">
        <v>6095</v>
      </c>
      <c r="C2629" s="9">
        <v>2624.0</v>
      </c>
      <c r="D2629" s="4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</row>
    <row r="2630">
      <c r="A2630" s="9">
        <v>2629.0</v>
      </c>
      <c r="B2630" s="9" t="s">
        <v>6096</v>
      </c>
      <c r="C2630" s="4"/>
      <c r="D2630" s="4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</row>
    <row r="2631">
      <c r="A2631" s="9">
        <v>2630.0</v>
      </c>
      <c r="B2631" s="9" t="s">
        <v>6097</v>
      </c>
      <c r="C2631" s="9">
        <v>2629.0</v>
      </c>
      <c r="D2631" s="4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</row>
    <row r="2632">
      <c r="A2632" s="9">
        <v>2631.0</v>
      </c>
      <c r="B2632" s="9" t="s">
        <v>6098</v>
      </c>
      <c r="C2632" s="4"/>
      <c r="D2632" s="4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</row>
    <row r="2633">
      <c r="A2633" s="9">
        <v>2632.0</v>
      </c>
      <c r="B2633" s="9" t="s">
        <v>6099</v>
      </c>
      <c r="C2633" s="9">
        <v>2631.0</v>
      </c>
      <c r="D2633" s="4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</row>
    <row r="2634">
      <c r="A2634" s="9">
        <v>2633.0</v>
      </c>
      <c r="B2634" s="9" t="s">
        <v>6100</v>
      </c>
      <c r="C2634" s="9">
        <v>2631.0</v>
      </c>
      <c r="D2634" s="4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</row>
    <row r="2635">
      <c r="A2635" s="9">
        <v>2634.0</v>
      </c>
      <c r="B2635" s="9" t="s">
        <v>6101</v>
      </c>
      <c r="C2635" s="9">
        <v>2631.0</v>
      </c>
      <c r="D2635" s="4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</row>
    <row r="2636">
      <c r="A2636" s="9">
        <v>2635.0</v>
      </c>
      <c r="B2636" s="9" t="s">
        <v>6102</v>
      </c>
      <c r="C2636" s="9">
        <v>2631.0</v>
      </c>
      <c r="D2636" s="4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</row>
    <row r="2637">
      <c r="A2637" s="9">
        <v>2636.0</v>
      </c>
      <c r="B2637" s="9" t="s">
        <v>6103</v>
      </c>
      <c r="C2637" s="9">
        <v>2631.0</v>
      </c>
      <c r="D2637" s="4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</row>
    <row r="2638">
      <c r="A2638" s="9">
        <v>2637.0</v>
      </c>
      <c r="B2638" s="9" t="s">
        <v>6104</v>
      </c>
      <c r="C2638" s="9">
        <v>2631.0</v>
      </c>
      <c r="D2638" s="4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</row>
    <row r="2639">
      <c r="A2639" s="9">
        <v>2638.0</v>
      </c>
      <c r="B2639" s="9" t="s">
        <v>6105</v>
      </c>
      <c r="C2639" s="9">
        <v>2631.0</v>
      </c>
      <c r="D2639" s="4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</row>
    <row r="2640">
      <c r="A2640" s="9">
        <v>2639.0</v>
      </c>
      <c r="B2640" s="9" t="s">
        <v>6106</v>
      </c>
      <c r="C2640" s="9">
        <v>2631.0</v>
      </c>
      <c r="D2640" s="4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</row>
    <row r="2641">
      <c r="A2641" s="9">
        <v>2640.0</v>
      </c>
      <c r="B2641" s="9" t="s">
        <v>6107</v>
      </c>
      <c r="C2641" s="9">
        <v>2631.0</v>
      </c>
      <c r="D2641" s="4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</row>
    <row r="2642">
      <c r="A2642" s="9">
        <v>2641.0</v>
      </c>
      <c r="B2642" s="9" t="s">
        <v>6108</v>
      </c>
      <c r="C2642" s="9">
        <v>2631.0</v>
      </c>
      <c r="D2642" s="4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</row>
    <row r="2643">
      <c r="A2643" s="9">
        <v>2642.0</v>
      </c>
      <c r="B2643" s="9" t="s">
        <v>6109</v>
      </c>
      <c r="C2643" s="9">
        <v>2631.0</v>
      </c>
      <c r="D2643" s="4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</row>
    <row r="2644">
      <c r="A2644" s="9">
        <v>2643.0</v>
      </c>
      <c r="B2644" s="9" t="s">
        <v>6110</v>
      </c>
      <c r="C2644" s="9">
        <v>2631.0</v>
      </c>
      <c r="D2644" s="4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</row>
    <row r="2645">
      <c r="A2645" s="9">
        <v>2644.0</v>
      </c>
      <c r="B2645" s="9" t="s">
        <v>6111</v>
      </c>
      <c r="C2645" s="9">
        <v>2631.0</v>
      </c>
      <c r="D2645" s="4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</row>
    <row r="2646">
      <c r="A2646" s="9">
        <v>2645.0</v>
      </c>
      <c r="B2646" s="9" t="s">
        <v>6112</v>
      </c>
      <c r="C2646" s="9">
        <v>2631.0</v>
      </c>
      <c r="D2646" s="4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</row>
    <row r="2647">
      <c r="A2647" s="9">
        <v>2646.0</v>
      </c>
      <c r="B2647" s="9" t="s">
        <v>6113</v>
      </c>
      <c r="C2647" s="9">
        <v>2631.0</v>
      </c>
      <c r="D2647" s="4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</row>
    <row r="2648">
      <c r="A2648" s="9">
        <v>2647.0</v>
      </c>
      <c r="B2648" s="9" t="s">
        <v>6114</v>
      </c>
      <c r="C2648" s="9">
        <v>2631.0</v>
      </c>
      <c r="D2648" s="4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</row>
    <row r="2649">
      <c r="A2649" s="9">
        <v>2648.0</v>
      </c>
      <c r="B2649" s="9" t="s">
        <v>6115</v>
      </c>
      <c r="C2649" s="9">
        <v>2631.0</v>
      </c>
      <c r="D2649" s="4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</row>
    <row r="2650">
      <c r="A2650" s="9">
        <v>2649.0</v>
      </c>
      <c r="B2650" s="9" t="s">
        <v>6116</v>
      </c>
      <c r="C2650" s="9">
        <v>2631.0</v>
      </c>
      <c r="D2650" s="4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</row>
    <row r="2651">
      <c r="A2651" s="9">
        <v>2650.0</v>
      </c>
      <c r="B2651" s="9" t="s">
        <v>6117</v>
      </c>
      <c r="C2651" s="9">
        <v>2631.0</v>
      </c>
      <c r="D2651" s="4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</row>
    <row r="2652">
      <c r="A2652" s="9">
        <v>2651.0</v>
      </c>
      <c r="B2652" s="9" t="s">
        <v>6118</v>
      </c>
      <c r="C2652" s="9">
        <v>2631.0</v>
      </c>
      <c r="D2652" s="4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</row>
    <row r="2653">
      <c r="A2653" s="9">
        <v>2652.0</v>
      </c>
      <c r="B2653" s="9" t="s">
        <v>6119</v>
      </c>
      <c r="C2653" s="9">
        <v>2631.0</v>
      </c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</row>
    <row r="2654">
      <c r="A2654" s="9">
        <v>2653.0</v>
      </c>
      <c r="B2654" s="9" t="s">
        <v>6120</v>
      </c>
      <c r="C2654" s="9">
        <v>2631.0</v>
      </c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</row>
    <row r="2655">
      <c r="A2655" s="9">
        <v>2654.0</v>
      </c>
      <c r="B2655" s="9" t="s">
        <v>6121</v>
      </c>
      <c r="C2655" s="9">
        <v>2631.0</v>
      </c>
      <c r="D2655" s="4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</row>
    <row r="2656">
      <c r="A2656" s="9">
        <v>2655.0</v>
      </c>
      <c r="B2656" s="9" t="s">
        <v>6122</v>
      </c>
      <c r="C2656" s="9">
        <v>2631.0</v>
      </c>
      <c r="D2656" s="4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</row>
    <row r="2657">
      <c r="A2657" s="9">
        <v>2656.0</v>
      </c>
      <c r="B2657" s="9" t="s">
        <v>6123</v>
      </c>
      <c r="C2657" s="9">
        <v>2631.0</v>
      </c>
      <c r="D2657" s="4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</row>
    <row r="2658">
      <c r="A2658" s="9">
        <v>2657.0</v>
      </c>
      <c r="B2658" s="9" t="s">
        <v>6124</v>
      </c>
      <c r="C2658" s="9">
        <v>2631.0</v>
      </c>
      <c r="D2658" s="4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</row>
    <row r="2659">
      <c r="A2659" s="9">
        <v>2658.0</v>
      </c>
      <c r="B2659" s="9" t="s">
        <v>6125</v>
      </c>
      <c r="C2659" s="9">
        <v>2631.0</v>
      </c>
      <c r="D2659" s="4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</row>
    <row r="2660">
      <c r="A2660" s="9">
        <v>2659.0</v>
      </c>
      <c r="B2660" s="9" t="s">
        <v>6126</v>
      </c>
      <c r="C2660" s="9">
        <v>2631.0</v>
      </c>
      <c r="D2660" s="4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</row>
    <row r="2661">
      <c r="A2661" s="9">
        <v>2660.0</v>
      </c>
      <c r="B2661" s="9" t="s">
        <v>6127</v>
      </c>
      <c r="C2661" s="9">
        <v>2631.0</v>
      </c>
      <c r="D2661" s="4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</row>
    <row r="2662">
      <c r="A2662" s="9">
        <v>2661.0</v>
      </c>
      <c r="B2662" s="9" t="s">
        <v>6128</v>
      </c>
      <c r="C2662" s="9">
        <v>2631.0</v>
      </c>
      <c r="D2662" s="4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</row>
    <row r="2663">
      <c r="A2663" s="9">
        <v>2662.0</v>
      </c>
      <c r="B2663" s="9" t="s">
        <v>6129</v>
      </c>
      <c r="C2663" s="9">
        <v>2631.0</v>
      </c>
      <c r="D2663" s="4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</row>
    <row r="2664">
      <c r="A2664" s="9">
        <v>2663.0</v>
      </c>
      <c r="B2664" s="9" t="s">
        <v>6130</v>
      </c>
      <c r="C2664" s="9">
        <v>2631.0</v>
      </c>
      <c r="D2664" s="4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</row>
    <row r="2665">
      <c r="A2665" s="9">
        <v>2664.0</v>
      </c>
      <c r="B2665" s="9" t="s">
        <v>6131</v>
      </c>
      <c r="C2665" s="9">
        <v>2631.0</v>
      </c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</row>
    <row r="2666">
      <c r="A2666" s="9">
        <v>2665.0</v>
      </c>
      <c r="B2666" s="9" t="s">
        <v>6132</v>
      </c>
      <c r="C2666" s="9">
        <v>2631.0</v>
      </c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</row>
    <row r="2667">
      <c r="A2667" s="9">
        <v>2666.0</v>
      </c>
      <c r="B2667" s="9" t="s">
        <v>6133</v>
      </c>
      <c r="C2667" s="9">
        <v>2631.0</v>
      </c>
      <c r="D2667" s="4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</row>
    <row r="2668">
      <c r="A2668" s="9">
        <v>2667.0</v>
      </c>
      <c r="B2668" s="9" t="s">
        <v>6134</v>
      </c>
      <c r="C2668" s="9">
        <v>2631.0</v>
      </c>
      <c r="D2668" s="4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</row>
    <row r="2669">
      <c r="A2669" s="9">
        <v>2668.0</v>
      </c>
      <c r="B2669" s="9" t="s">
        <v>6135</v>
      </c>
      <c r="C2669" s="9">
        <v>2631.0</v>
      </c>
      <c r="D2669" s="4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</row>
    <row r="2670">
      <c r="A2670" s="9">
        <v>2669.0</v>
      </c>
      <c r="B2670" s="9" t="s">
        <v>6136</v>
      </c>
      <c r="C2670" s="9">
        <v>2631.0</v>
      </c>
      <c r="D2670" s="4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</row>
    <row r="2671">
      <c r="A2671" s="9">
        <v>2670.0</v>
      </c>
      <c r="B2671" s="9" t="s">
        <v>6137</v>
      </c>
      <c r="C2671" s="9">
        <v>2631.0</v>
      </c>
      <c r="D2671" s="4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</row>
    <row r="2672">
      <c r="A2672" s="9">
        <v>2671.0</v>
      </c>
      <c r="B2672" s="9" t="s">
        <v>6138</v>
      </c>
      <c r="C2672" s="9">
        <v>2631.0</v>
      </c>
      <c r="D2672" s="4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</row>
    <row r="2673">
      <c r="A2673" s="9">
        <v>2672.0</v>
      </c>
      <c r="B2673" s="9" t="s">
        <v>6139</v>
      </c>
      <c r="C2673" s="9">
        <v>2631.0</v>
      </c>
      <c r="D2673" s="4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</row>
    <row r="2674">
      <c r="A2674" s="9">
        <v>2673.0</v>
      </c>
      <c r="B2674" s="9" t="s">
        <v>6140</v>
      </c>
      <c r="C2674" s="9">
        <v>2631.0</v>
      </c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</row>
    <row r="2675">
      <c r="A2675" s="9">
        <v>2674.0</v>
      </c>
      <c r="B2675" s="9" t="s">
        <v>6141</v>
      </c>
      <c r="C2675" s="4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</row>
    <row r="2676">
      <c r="A2676" s="9">
        <v>2675.0</v>
      </c>
      <c r="B2676" s="9" t="s">
        <v>6142</v>
      </c>
      <c r="C2676" s="9">
        <v>2674.0</v>
      </c>
      <c r="D2676" s="4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</row>
    <row r="2677">
      <c r="A2677" s="9">
        <v>2676.0</v>
      </c>
      <c r="B2677" s="9" t="s">
        <v>6143</v>
      </c>
      <c r="C2677" s="9">
        <v>2674.0</v>
      </c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</row>
    <row r="2678">
      <c r="A2678" s="9">
        <v>2677.0</v>
      </c>
      <c r="B2678" s="9" t="s">
        <v>6144</v>
      </c>
      <c r="C2678" s="9">
        <v>2674.0</v>
      </c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</row>
    <row r="2679">
      <c r="A2679" s="9">
        <v>2678.0</v>
      </c>
      <c r="B2679" s="9" t="s">
        <v>6145</v>
      </c>
      <c r="C2679" s="9">
        <v>2674.0</v>
      </c>
      <c r="D2679" s="4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</row>
    <row r="2680">
      <c r="A2680" s="9">
        <v>2679.0</v>
      </c>
      <c r="B2680" s="9" t="s">
        <v>6146</v>
      </c>
      <c r="C2680" s="9">
        <v>2674.0</v>
      </c>
      <c r="D2680" s="4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</row>
    <row r="2681">
      <c r="A2681" s="9">
        <v>2680.0</v>
      </c>
      <c r="B2681" s="9" t="s">
        <v>6147</v>
      </c>
      <c r="C2681" s="9">
        <v>2674.0</v>
      </c>
      <c r="D2681" s="4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</row>
    <row r="2682">
      <c r="A2682" s="9">
        <v>2681.0</v>
      </c>
      <c r="B2682" s="9" t="s">
        <v>6148</v>
      </c>
      <c r="C2682" s="9">
        <v>2674.0</v>
      </c>
      <c r="D2682" s="4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</row>
    <row r="2683">
      <c r="A2683" s="9">
        <v>2682.0</v>
      </c>
      <c r="B2683" s="9" t="s">
        <v>6149</v>
      </c>
      <c r="C2683" s="9">
        <v>2674.0</v>
      </c>
      <c r="D2683" s="4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</row>
    <row r="2684">
      <c r="A2684" s="9">
        <v>2683.0</v>
      </c>
      <c r="B2684" s="9" t="s">
        <v>6150</v>
      </c>
      <c r="C2684" s="9">
        <v>2674.0</v>
      </c>
      <c r="D2684" s="4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</row>
    <row r="2685">
      <c r="A2685" s="9">
        <v>2684.0</v>
      </c>
      <c r="B2685" s="9" t="s">
        <v>6151</v>
      </c>
      <c r="C2685" s="9">
        <v>2674.0</v>
      </c>
      <c r="D2685" s="4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</row>
    <row r="2686">
      <c r="A2686" s="9">
        <v>2685.0</v>
      </c>
      <c r="B2686" s="9" t="s">
        <v>6152</v>
      </c>
      <c r="C2686" s="9">
        <v>2674.0</v>
      </c>
      <c r="D2686" s="4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</row>
    <row r="2687">
      <c r="A2687" s="9">
        <v>2686.0</v>
      </c>
      <c r="B2687" s="9" t="s">
        <v>6153</v>
      </c>
      <c r="C2687" s="9">
        <v>2674.0</v>
      </c>
      <c r="D2687" s="4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</row>
    <row r="2688">
      <c r="A2688" s="9">
        <v>2687.0</v>
      </c>
      <c r="B2688" s="9" t="s">
        <v>6154</v>
      </c>
      <c r="C2688" s="9">
        <v>2674.0</v>
      </c>
      <c r="D2688" s="4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</row>
    <row r="2689">
      <c r="A2689" s="9">
        <v>2688.0</v>
      </c>
      <c r="B2689" s="9" t="s">
        <v>6155</v>
      </c>
      <c r="C2689" s="9">
        <v>2674.0</v>
      </c>
      <c r="D2689" s="4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</row>
    <row r="2690">
      <c r="A2690" s="9">
        <v>2689.0</v>
      </c>
      <c r="B2690" s="9" t="s">
        <v>6156</v>
      </c>
      <c r="C2690" s="9">
        <v>2674.0</v>
      </c>
      <c r="D2690" s="4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</row>
    <row r="2691">
      <c r="A2691" s="9">
        <v>2690.0</v>
      </c>
      <c r="B2691" s="9" t="s">
        <v>6157</v>
      </c>
      <c r="C2691" s="9">
        <v>2674.0</v>
      </c>
      <c r="D2691" s="4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</row>
    <row r="2692">
      <c r="A2692" s="9">
        <v>2691.0</v>
      </c>
      <c r="B2692" s="9" t="s">
        <v>6158</v>
      </c>
      <c r="C2692" s="9">
        <v>2674.0</v>
      </c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</row>
    <row r="2693">
      <c r="A2693" s="9">
        <v>2692.0</v>
      </c>
      <c r="B2693" s="9" t="s">
        <v>6159</v>
      </c>
      <c r="C2693" s="9">
        <v>2674.0</v>
      </c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</row>
    <row r="2694">
      <c r="A2694" s="9">
        <v>2693.0</v>
      </c>
      <c r="B2694" s="9" t="s">
        <v>6160</v>
      </c>
      <c r="C2694" s="9">
        <v>2674.0</v>
      </c>
      <c r="D2694" s="4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</row>
    <row r="2695">
      <c r="A2695" s="9">
        <v>2694.0</v>
      </c>
      <c r="B2695" s="9" t="s">
        <v>6161</v>
      </c>
      <c r="C2695" s="9">
        <v>2674.0</v>
      </c>
      <c r="D2695" s="4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</row>
    <row r="2696">
      <c r="A2696" s="9">
        <v>2695.0</v>
      </c>
      <c r="B2696" s="9" t="s">
        <v>6162</v>
      </c>
      <c r="C2696" s="9">
        <v>2674.0</v>
      </c>
      <c r="D2696" s="4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</row>
    <row r="2697">
      <c r="A2697" s="9">
        <v>2696.0</v>
      </c>
      <c r="B2697" s="9" t="s">
        <v>6163</v>
      </c>
      <c r="C2697" s="9">
        <v>2674.0</v>
      </c>
      <c r="D2697" s="4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</row>
    <row r="2698">
      <c r="A2698" s="9">
        <v>2697.0</v>
      </c>
      <c r="B2698" s="9" t="s">
        <v>6164</v>
      </c>
      <c r="C2698" s="9">
        <v>2674.0</v>
      </c>
      <c r="D2698" s="4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</row>
    <row r="2699">
      <c r="A2699" s="9">
        <v>2698.0</v>
      </c>
      <c r="B2699" s="9" t="s">
        <v>6165</v>
      </c>
      <c r="C2699" s="9">
        <v>2674.0</v>
      </c>
      <c r="D2699" s="4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</row>
    <row r="2700">
      <c r="A2700" s="9">
        <v>2699.0</v>
      </c>
      <c r="B2700" s="9" t="s">
        <v>6166</v>
      </c>
      <c r="C2700" s="9">
        <v>2674.0</v>
      </c>
      <c r="D2700" s="4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</row>
    <row r="2701">
      <c r="A2701" s="9">
        <v>2700.0</v>
      </c>
      <c r="B2701" s="9" t="s">
        <v>6167</v>
      </c>
      <c r="C2701" s="9">
        <v>2674.0</v>
      </c>
      <c r="D2701" s="4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</row>
    <row r="2702">
      <c r="A2702" s="9">
        <v>2701.0</v>
      </c>
      <c r="B2702" s="9" t="s">
        <v>6168</v>
      </c>
      <c r="C2702" s="9">
        <v>2674.0</v>
      </c>
      <c r="D2702" s="4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</row>
    <row r="2703">
      <c r="A2703" s="9">
        <v>2702.0</v>
      </c>
      <c r="B2703" s="9" t="s">
        <v>6169</v>
      </c>
      <c r="C2703" s="9">
        <v>2674.0</v>
      </c>
      <c r="D2703" s="4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</row>
    <row r="2704">
      <c r="A2704" s="9">
        <v>2703.0</v>
      </c>
      <c r="B2704" s="9" t="s">
        <v>6170</v>
      </c>
      <c r="C2704" s="9">
        <v>2674.0</v>
      </c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</row>
    <row r="2705">
      <c r="A2705" s="9">
        <v>2704.0</v>
      </c>
      <c r="B2705" s="9" t="s">
        <v>6171</v>
      </c>
      <c r="C2705" s="9">
        <v>2674.0</v>
      </c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</row>
    <row r="2706">
      <c r="A2706" s="9">
        <v>2705.0</v>
      </c>
      <c r="B2706" s="9" t="s">
        <v>6172</v>
      </c>
      <c r="C2706" s="9">
        <v>2674.0</v>
      </c>
      <c r="D2706" s="4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</row>
    <row r="2707">
      <c r="A2707" s="9">
        <v>2706.0</v>
      </c>
      <c r="B2707" s="9" t="s">
        <v>6173</v>
      </c>
      <c r="C2707" s="9">
        <v>2674.0</v>
      </c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</row>
    <row r="2708">
      <c r="A2708" s="9">
        <v>2707.0</v>
      </c>
      <c r="B2708" s="9" t="s">
        <v>6174</v>
      </c>
      <c r="C2708" s="9">
        <v>2674.0</v>
      </c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</row>
    <row r="2709">
      <c r="A2709" s="9">
        <v>2708.0</v>
      </c>
      <c r="B2709" s="9" t="s">
        <v>6175</v>
      </c>
      <c r="C2709" s="9">
        <v>2674.0</v>
      </c>
      <c r="D2709" s="4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</row>
    <row r="2710">
      <c r="A2710" s="9">
        <v>2709.0</v>
      </c>
      <c r="B2710" s="9" t="s">
        <v>6176</v>
      </c>
      <c r="C2710" s="9">
        <v>2674.0</v>
      </c>
      <c r="D2710" s="4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</row>
    <row r="2711">
      <c r="A2711" s="9">
        <v>2710.0</v>
      </c>
      <c r="B2711" s="9" t="s">
        <v>6177</v>
      </c>
      <c r="C2711" s="9">
        <v>2674.0</v>
      </c>
      <c r="D2711" s="4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</row>
    <row r="2712">
      <c r="A2712" s="9">
        <v>2711.0</v>
      </c>
      <c r="B2712" s="9" t="s">
        <v>6178</v>
      </c>
      <c r="C2712" s="9">
        <v>2674.0</v>
      </c>
      <c r="D2712" s="4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</row>
    <row r="2713">
      <c r="A2713" s="9">
        <v>2712.0</v>
      </c>
      <c r="B2713" s="9" t="s">
        <v>6179</v>
      </c>
      <c r="C2713" s="9">
        <v>2674.0</v>
      </c>
      <c r="D2713" s="4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</row>
    <row r="2714">
      <c r="A2714" s="9">
        <v>2713.0</v>
      </c>
      <c r="B2714" s="9" t="s">
        <v>6180</v>
      </c>
      <c r="C2714" s="9">
        <v>2674.0</v>
      </c>
      <c r="D2714" s="4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</row>
    <row r="2715">
      <c r="A2715" s="9">
        <v>2714.0</v>
      </c>
      <c r="B2715" s="9" t="s">
        <v>6181</v>
      </c>
      <c r="C2715" s="9">
        <v>2674.0</v>
      </c>
      <c r="D2715" s="4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</row>
    <row r="2716">
      <c r="A2716" s="9">
        <v>2715.0</v>
      </c>
      <c r="B2716" s="9" t="s">
        <v>6182</v>
      </c>
      <c r="C2716" s="9">
        <v>2674.0</v>
      </c>
      <c r="D2716" s="4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</row>
    <row r="2717">
      <c r="A2717" s="9">
        <v>2716.0</v>
      </c>
      <c r="B2717" s="9" t="s">
        <v>6183</v>
      </c>
      <c r="C2717" s="9">
        <v>2674.0</v>
      </c>
      <c r="D2717" s="4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</row>
    <row r="2718">
      <c r="A2718" s="9">
        <v>2717.0</v>
      </c>
      <c r="B2718" s="9" t="s">
        <v>6184</v>
      </c>
      <c r="C2718" s="9">
        <v>2674.0</v>
      </c>
      <c r="D2718" s="4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</row>
    <row r="2719">
      <c r="A2719" s="9">
        <v>2718.0</v>
      </c>
      <c r="B2719" s="9" t="s">
        <v>6185</v>
      </c>
      <c r="C2719" s="9">
        <v>2674.0</v>
      </c>
      <c r="D2719" s="4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</row>
    <row r="2720">
      <c r="A2720" s="9">
        <v>2719.0</v>
      </c>
      <c r="B2720" s="9" t="s">
        <v>6186</v>
      </c>
      <c r="C2720" s="9">
        <v>2674.0</v>
      </c>
      <c r="D2720" s="4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</row>
    <row r="2721">
      <c r="A2721" s="9">
        <v>2720.0</v>
      </c>
      <c r="B2721" s="9" t="s">
        <v>6187</v>
      </c>
      <c r="C2721" s="9">
        <v>2674.0</v>
      </c>
      <c r="D2721" s="4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</row>
    <row r="2722">
      <c r="A2722" s="9">
        <v>2721.0</v>
      </c>
      <c r="B2722" s="9" t="s">
        <v>6188</v>
      </c>
      <c r="C2722" s="9">
        <v>2674.0</v>
      </c>
      <c r="D2722" s="4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</row>
    <row r="2723">
      <c r="A2723" s="9">
        <v>2722.0</v>
      </c>
      <c r="B2723" s="9" t="s">
        <v>6189</v>
      </c>
      <c r="C2723" s="9">
        <v>2674.0</v>
      </c>
      <c r="D2723" s="4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</row>
    <row r="2724">
      <c r="A2724" s="9">
        <v>2723.0</v>
      </c>
      <c r="B2724" s="9" t="s">
        <v>6190</v>
      </c>
      <c r="C2724" s="9">
        <v>2674.0</v>
      </c>
      <c r="D2724" s="4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</row>
    <row r="2725">
      <c r="A2725" s="9">
        <v>2724.0</v>
      </c>
      <c r="B2725" s="9" t="s">
        <v>6191</v>
      </c>
      <c r="C2725" s="9">
        <v>2674.0</v>
      </c>
      <c r="D2725" s="4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</row>
    <row r="2726">
      <c r="A2726" s="9">
        <v>2725.0</v>
      </c>
      <c r="B2726" s="9" t="s">
        <v>6192</v>
      </c>
      <c r="C2726" s="9">
        <v>2674.0</v>
      </c>
      <c r="D2726" s="4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</row>
    <row r="2727">
      <c r="A2727" s="9">
        <v>2726.0</v>
      </c>
      <c r="B2727" s="9" t="s">
        <v>6193</v>
      </c>
      <c r="C2727" s="9">
        <v>2674.0</v>
      </c>
      <c r="D2727" s="4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</row>
    <row r="2728">
      <c r="A2728" s="9">
        <v>2727.0</v>
      </c>
      <c r="B2728" s="9" t="s">
        <v>6194</v>
      </c>
      <c r="C2728" s="9">
        <v>2674.0</v>
      </c>
      <c r="D2728" s="4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</row>
    <row r="2729">
      <c r="A2729" s="9">
        <v>2728.0</v>
      </c>
      <c r="B2729" s="9" t="s">
        <v>6195</v>
      </c>
      <c r="C2729" s="9">
        <v>2674.0</v>
      </c>
      <c r="D2729" s="4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</row>
    <row r="2730">
      <c r="A2730" s="9">
        <v>2729.0</v>
      </c>
      <c r="B2730" s="9" t="s">
        <v>6196</v>
      </c>
      <c r="C2730" s="9">
        <v>2674.0</v>
      </c>
      <c r="D2730" s="4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</row>
    <row r="2731">
      <c r="A2731" s="9">
        <v>2730.0</v>
      </c>
      <c r="B2731" s="9" t="s">
        <v>6197</v>
      </c>
      <c r="C2731" s="9">
        <v>2674.0</v>
      </c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</row>
    <row r="2732">
      <c r="A2732" s="9">
        <v>2731.0</v>
      </c>
      <c r="B2732" s="9" t="s">
        <v>6198</v>
      </c>
      <c r="C2732" s="9">
        <v>2674.0</v>
      </c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</row>
    <row r="2733">
      <c r="A2733" s="9">
        <v>2732.0</v>
      </c>
      <c r="B2733" s="9" t="s">
        <v>6199</v>
      </c>
      <c r="C2733" s="9">
        <v>2674.0</v>
      </c>
      <c r="D2733" s="4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</row>
    <row r="2734">
      <c r="A2734" s="9">
        <v>2733.0</v>
      </c>
      <c r="B2734" s="9" t="s">
        <v>6200</v>
      </c>
      <c r="C2734" s="9">
        <v>2674.0</v>
      </c>
      <c r="D2734" s="4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</row>
    <row r="2735">
      <c r="A2735" s="9">
        <v>2734.0</v>
      </c>
      <c r="B2735" s="9" t="s">
        <v>6201</v>
      </c>
      <c r="C2735" s="9">
        <v>2674.0</v>
      </c>
      <c r="D2735" s="4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</row>
    <row r="2736">
      <c r="A2736" s="9">
        <v>2735.0</v>
      </c>
      <c r="B2736" s="9" t="s">
        <v>6202</v>
      </c>
      <c r="C2736" s="9">
        <v>2674.0</v>
      </c>
      <c r="D2736" s="4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</row>
    <row r="2737">
      <c r="A2737" s="9">
        <v>2736.0</v>
      </c>
      <c r="B2737" s="9" t="s">
        <v>6203</v>
      </c>
      <c r="C2737" s="9">
        <v>2674.0</v>
      </c>
      <c r="D2737" s="4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</row>
    <row r="2738">
      <c r="A2738" s="9">
        <v>2737.0</v>
      </c>
      <c r="B2738" s="9" t="s">
        <v>6204</v>
      </c>
      <c r="C2738" s="9">
        <v>2674.0</v>
      </c>
      <c r="D2738" s="4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</row>
    <row r="2739">
      <c r="A2739" s="9">
        <v>2738.0</v>
      </c>
      <c r="B2739" s="9" t="s">
        <v>6205</v>
      </c>
      <c r="C2739" s="9">
        <v>2674.0</v>
      </c>
      <c r="D2739" s="4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</row>
    <row r="2740">
      <c r="A2740" s="9">
        <v>2739.0</v>
      </c>
      <c r="B2740" s="9" t="s">
        <v>6206</v>
      </c>
      <c r="C2740" s="9">
        <v>2674.0</v>
      </c>
      <c r="D2740" s="4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</row>
    <row r="2741">
      <c r="A2741" s="9">
        <v>2740.0</v>
      </c>
      <c r="B2741" s="9" t="s">
        <v>6207</v>
      </c>
      <c r="C2741" s="9">
        <v>2674.0</v>
      </c>
      <c r="D2741" s="4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</row>
    <row r="2742">
      <c r="A2742" s="9">
        <v>2741.0</v>
      </c>
      <c r="B2742" s="9" t="s">
        <v>6208</v>
      </c>
      <c r="C2742" s="9">
        <v>2674.0</v>
      </c>
      <c r="D2742" s="4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</row>
    <row r="2743">
      <c r="A2743" s="9">
        <v>2742.0</v>
      </c>
      <c r="B2743" s="9" t="s">
        <v>6209</v>
      </c>
      <c r="C2743" s="9">
        <v>2674.0</v>
      </c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</row>
    <row r="2744">
      <c r="A2744" s="9">
        <v>2743.0</v>
      </c>
      <c r="B2744" s="9" t="s">
        <v>6210</v>
      </c>
      <c r="C2744" s="9">
        <v>2674.0</v>
      </c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</row>
    <row r="2745">
      <c r="A2745" s="9">
        <v>2744.0</v>
      </c>
      <c r="B2745" s="9" t="s">
        <v>6211</v>
      </c>
      <c r="C2745" s="9">
        <v>2674.0</v>
      </c>
      <c r="D2745" s="4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</row>
    <row r="2746">
      <c r="A2746" s="9">
        <v>2745.0</v>
      </c>
      <c r="B2746" s="9" t="s">
        <v>6212</v>
      </c>
      <c r="C2746" s="9">
        <v>2674.0</v>
      </c>
      <c r="D2746" s="4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</row>
    <row r="2747">
      <c r="A2747" s="9">
        <v>2746.0</v>
      </c>
      <c r="B2747" s="9" t="s">
        <v>6213</v>
      </c>
      <c r="C2747" s="9">
        <v>2674.0</v>
      </c>
      <c r="D2747" s="4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</row>
    <row r="2748">
      <c r="A2748" s="9">
        <v>2747.0</v>
      </c>
      <c r="B2748" s="9" t="s">
        <v>6214</v>
      </c>
      <c r="C2748" s="9">
        <v>2674.0</v>
      </c>
      <c r="D2748" s="4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</row>
    <row r="2749">
      <c r="A2749" s="9">
        <v>2748.0</v>
      </c>
      <c r="B2749" s="9" t="s">
        <v>6215</v>
      </c>
      <c r="C2749" s="9">
        <v>2674.0</v>
      </c>
      <c r="D2749" s="4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</row>
    <row r="2750">
      <c r="A2750" s="9">
        <v>2749.0</v>
      </c>
      <c r="B2750" s="9" t="s">
        <v>6216</v>
      </c>
      <c r="C2750" s="9">
        <v>2674.0</v>
      </c>
      <c r="D2750" s="4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</row>
    <row r="2751">
      <c r="A2751" s="9">
        <v>2750.0</v>
      </c>
      <c r="B2751" s="9" t="s">
        <v>6217</v>
      </c>
      <c r="C2751" s="9">
        <v>2674.0</v>
      </c>
      <c r="D2751" s="4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</row>
    <row r="2752">
      <c r="A2752" s="9">
        <v>2751.0</v>
      </c>
      <c r="B2752" s="9" t="s">
        <v>6218</v>
      </c>
      <c r="C2752" s="9">
        <v>2674.0</v>
      </c>
      <c r="D2752" s="4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</row>
    <row r="2753">
      <c r="A2753" s="9">
        <v>2752.0</v>
      </c>
      <c r="B2753" s="9" t="s">
        <v>6219</v>
      </c>
      <c r="C2753" s="9">
        <v>2674.0</v>
      </c>
      <c r="D2753" s="4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</row>
    <row r="2754">
      <c r="A2754" s="9">
        <v>2753.0</v>
      </c>
      <c r="B2754" s="9" t="s">
        <v>6220</v>
      </c>
      <c r="C2754" s="9">
        <v>2674.0</v>
      </c>
      <c r="D2754" s="4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</row>
    <row r="2755">
      <c r="A2755" s="9">
        <v>2754.0</v>
      </c>
      <c r="B2755" s="9" t="s">
        <v>6221</v>
      </c>
      <c r="C2755" s="9">
        <v>2674.0</v>
      </c>
      <c r="D2755" s="4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</row>
    <row r="2756">
      <c r="A2756" s="9">
        <v>2755.0</v>
      </c>
      <c r="B2756" s="9" t="s">
        <v>6222</v>
      </c>
      <c r="C2756" s="4"/>
      <c r="D2756" s="4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</row>
    <row r="2757">
      <c r="A2757" s="9">
        <v>2756.0</v>
      </c>
      <c r="B2757" s="9" t="s">
        <v>6223</v>
      </c>
      <c r="C2757" s="9">
        <v>2755.0</v>
      </c>
      <c r="D2757" s="4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</row>
    <row r="2758">
      <c r="A2758" s="9">
        <v>2757.0</v>
      </c>
      <c r="B2758" s="9" t="s">
        <v>6224</v>
      </c>
      <c r="C2758" s="4"/>
      <c r="D2758" s="4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</row>
    <row r="2759">
      <c r="A2759" s="9">
        <v>2758.0</v>
      </c>
      <c r="B2759" s="9" t="s">
        <v>6225</v>
      </c>
      <c r="C2759" s="9">
        <v>2757.0</v>
      </c>
      <c r="D2759" s="4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</row>
    <row r="2760">
      <c r="A2760" s="9">
        <v>2759.0</v>
      </c>
      <c r="B2760" s="9" t="s">
        <v>6226</v>
      </c>
      <c r="C2760" s="9">
        <v>2757.0</v>
      </c>
      <c r="D2760" s="4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</row>
    <row r="2761">
      <c r="A2761" s="9">
        <v>2760.0</v>
      </c>
      <c r="B2761" s="9" t="s">
        <v>6227</v>
      </c>
      <c r="C2761" s="9">
        <v>2757.0</v>
      </c>
      <c r="D2761" s="4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</row>
    <row r="2762">
      <c r="A2762" s="9">
        <v>2761.0</v>
      </c>
      <c r="B2762" s="9" t="s">
        <v>6228</v>
      </c>
      <c r="C2762" s="9">
        <v>2757.0</v>
      </c>
      <c r="D2762" s="4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</row>
    <row r="2763">
      <c r="A2763" s="9">
        <v>2762.0</v>
      </c>
      <c r="B2763" s="9" t="s">
        <v>6229</v>
      </c>
      <c r="C2763" s="9">
        <v>2757.0</v>
      </c>
      <c r="D2763" s="4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</row>
    <row r="2764">
      <c r="A2764" s="9">
        <v>2763.0</v>
      </c>
      <c r="B2764" s="9" t="s">
        <v>6230</v>
      </c>
      <c r="C2764" s="9">
        <v>2757.0</v>
      </c>
      <c r="D2764" s="4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</row>
    <row r="2765">
      <c r="A2765" s="9">
        <v>2764.0</v>
      </c>
      <c r="B2765" s="9" t="s">
        <v>6231</v>
      </c>
      <c r="C2765" s="9">
        <v>2757.0</v>
      </c>
      <c r="D2765" s="4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</row>
    <row r="2766">
      <c r="A2766" s="9">
        <v>2765.0</v>
      </c>
      <c r="B2766" s="9" t="s">
        <v>6232</v>
      </c>
      <c r="C2766" s="9">
        <v>2757.0</v>
      </c>
      <c r="D2766" s="4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</row>
    <row r="2767">
      <c r="A2767" s="9">
        <v>2766.0</v>
      </c>
      <c r="B2767" s="9" t="s">
        <v>6233</v>
      </c>
      <c r="C2767" s="4"/>
      <c r="D2767" s="4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</row>
    <row r="2768">
      <c r="A2768" s="9">
        <v>2767.0</v>
      </c>
      <c r="B2768" s="9" t="s">
        <v>6234</v>
      </c>
      <c r="C2768" s="9">
        <v>2766.0</v>
      </c>
      <c r="D2768" s="4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</row>
    <row r="2769">
      <c r="A2769" s="9">
        <v>2768.0</v>
      </c>
      <c r="B2769" s="9" t="s">
        <v>6235</v>
      </c>
      <c r="C2769" s="9">
        <v>2766.0</v>
      </c>
      <c r="D2769" s="4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</row>
    <row r="2770">
      <c r="A2770" s="9">
        <v>2769.0</v>
      </c>
      <c r="B2770" s="9" t="s">
        <v>6236</v>
      </c>
      <c r="C2770" s="9">
        <v>2766.0</v>
      </c>
      <c r="D2770" s="4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</row>
    <row r="2771">
      <c r="A2771" s="9">
        <v>2770.0</v>
      </c>
      <c r="B2771" s="9" t="s">
        <v>6237</v>
      </c>
      <c r="C2771" s="9">
        <v>2766.0</v>
      </c>
      <c r="D2771" s="4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</row>
    <row r="2772">
      <c r="A2772" s="9">
        <v>2771.0</v>
      </c>
      <c r="B2772" s="9" t="s">
        <v>6238</v>
      </c>
      <c r="C2772" s="9">
        <v>2766.0</v>
      </c>
      <c r="D2772" s="4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</row>
    <row r="2773">
      <c r="A2773" s="9">
        <v>2772.0</v>
      </c>
      <c r="B2773" s="9" t="s">
        <v>6239</v>
      </c>
      <c r="C2773" s="9">
        <v>2766.0</v>
      </c>
      <c r="D2773" s="4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</row>
    <row r="2774">
      <c r="A2774" s="9">
        <v>2773.0</v>
      </c>
      <c r="B2774" s="9" t="s">
        <v>6240</v>
      </c>
      <c r="C2774" s="9">
        <v>2766.0</v>
      </c>
      <c r="D2774" s="4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</row>
    <row r="2775">
      <c r="A2775" s="9">
        <v>2774.0</v>
      </c>
      <c r="B2775" s="9" t="s">
        <v>6241</v>
      </c>
      <c r="C2775" s="9">
        <v>2766.0</v>
      </c>
      <c r="D2775" s="4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</row>
    <row r="2776">
      <c r="A2776" s="9">
        <v>2775.0</v>
      </c>
      <c r="B2776" s="9" t="s">
        <v>6242</v>
      </c>
      <c r="C2776" s="9">
        <v>2766.0</v>
      </c>
      <c r="D2776" s="4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</row>
    <row r="2777">
      <c r="A2777" s="9">
        <v>2776.0</v>
      </c>
      <c r="B2777" s="9" t="s">
        <v>6243</v>
      </c>
      <c r="C2777" s="9">
        <v>2766.0</v>
      </c>
      <c r="D2777" s="4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</row>
    <row r="2778">
      <c r="A2778" s="9">
        <v>2777.0</v>
      </c>
      <c r="B2778" s="9" t="s">
        <v>6244</v>
      </c>
      <c r="C2778" s="9">
        <v>2766.0</v>
      </c>
      <c r="D2778" s="4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</row>
    <row r="2779">
      <c r="A2779" s="9">
        <v>2778.0</v>
      </c>
      <c r="B2779" s="9" t="s">
        <v>6245</v>
      </c>
      <c r="C2779" s="9">
        <v>2766.0</v>
      </c>
      <c r="D2779" s="4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</row>
    <row r="2780">
      <c r="A2780" s="9">
        <v>2779.0</v>
      </c>
      <c r="B2780" s="9" t="s">
        <v>6246</v>
      </c>
      <c r="C2780" s="9">
        <v>2766.0</v>
      </c>
      <c r="D2780" s="4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</row>
    <row r="2781">
      <c r="A2781" s="9">
        <v>2780.0</v>
      </c>
      <c r="B2781" s="9" t="s">
        <v>6247</v>
      </c>
      <c r="C2781" s="9">
        <v>2766.0</v>
      </c>
      <c r="D2781" s="4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</row>
    <row r="2782">
      <c r="A2782" s="9">
        <v>2781.0</v>
      </c>
      <c r="B2782" s="9" t="s">
        <v>6248</v>
      </c>
      <c r="C2782" s="9">
        <v>2766.0</v>
      </c>
      <c r="D2782" s="4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</row>
    <row r="2783">
      <c r="A2783" s="9">
        <v>2782.0</v>
      </c>
      <c r="B2783" s="9" t="s">
        <v>6249</v>
      </c>
      <c r="C2783" s="9">
        <v>2766.0</v>
      </c>
      <c r="D2783" s="4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</row>
    <row r="2784">
      <c r="A2784" s="9">
        <v>2783.0</v>
      </c>
      <c r="B2784" s="9" t="s">
        <v>6250</v>
      </c>
      <c r="C2784" s="9">
        <v>2766.0</v>
      </c>
      <c r="D2784" s="4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</row>
    <row r="2785">
      <c r="A2785" s="9">
        <v>2784.0</v>
      </c>
      <c r="B2785" s="9" t="s">
        <v>6251</v>
      </c>
      <c r="C2785" s="9">
        <v>2766.0</v>
      </c>
      <c r="D2785" s="4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</row>
    <row r="2786">
      <c r="A2786" s="9">
        <v>2785.0</v>
      </c>
      <c r="B2786" s="9" t="s">
        <v>6252</v>
      </c>
      <c r="C2786" s="9">
        <v>2766.0</v>
      </c>
      <c r="D2786" s="4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</row>
    <row r="2787">
      <c r="A2787" s="9">
        <v>2786.0</v>
      </c>
      <c r="B2787" s="9" t="s">
        <v>6253</v>
      </c>
      <c r="C2787" s="9">
        <v>2766.0</v>
      </c>
      <c r="D2787" s="4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</row>
    <row r="2788">
      <c r="A2788" s="9">
        <v>2787.0</v>
      </c>
      <c r="B2788" s="9" t="s">
        <v>6254</v>
      </c>
      <c r="C2788" s="9">
        <v>2766.0</v>
      </c>
      <c r="D2788" s="4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</row>
    <row r="2789">
      <c r="A2789" s="9">
        <v>2788.0</v>
      </c>
      <c r="B2789" s="9" t="s">
        <v>6255</v>
      </c>
      <c r="C2789" s="9">
        <v>2766.0</v>
      </c>
      <c r="D2789" s="4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</row>
    <row r="2790">
      <c r="A2790" s="9">
        <v>2789.0</v>
      </c>
      <c r="B2790" s="9" t="s">
        <v>6256</v>
      </c>
      <c r="C2790" s="9">
        <v>2766.0</v>
      </c>
      <c r="D2790" s="4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</row>
    <row r="2791">
      <c r="A2791" s="9">
        <v>2790.0</v>
      </c>
      <c r="B2791" s="9" t="s">
        <v>6257</v>
      </c>
      <c r="C2791" s="9">
        <v>2766.0</v>
      </c>
      <c r="D2791" s="4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</row>
    <row r="2792">
      <c r="A2792" s="9">
        <v>2791.0</v>
      </c>
      <c r="B2792" s="9" t="s">
        <v>6258</v>
      </c>
      <c r="C2792" s="9">
        <v>2766.0</v>
      </c>
      <c r="D2792" s="4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</row>
    <row r="2793">
      <c r="A2793" s="9">
        <v>2792.0</v>
      </c>
      <c r="B2793" s="9" t="s">
        <v>6259</v>
      </c>
      <c r="C2793" s="9">
        <v>2766.0</v>
      </c>
      <c r="D2793" s="4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</row>
    <row r="2794">
      <c r="A2794" s="9">
        <v>2793.0</v>
      </c>
      <c r="B2794" s="9" t="s">
        <v>6260</v>
      </c>
      <c r="C2794" s="9">
        <v>2766.0</v>
      </c>
      <c r="D2794" s="4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</row>
    <row r="2795">
      <c r="A2795" s="9">
        <v>2794.0</v>
      </c>
      <c r="B2795" s="9" t="s">
        <v>6261</v>
      </c>
      <c r="C2795" s="9">
        <v>2766.0</v>
      </c>
      <c r="D2795" s="4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</row>
    <row r="2796">
      <c r="A2796" s="9">
        <v>2795.0</v>
      </c>
      <c r="B2796" s="9" t="s">
        <v>6262</v>
      </c>
      <c r="C2796" s="9">
        <v>2766.0</v>
      </c>
      <c r="D2796" s="4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</row>
    <row r="2797">
      <c r="A2797" s="9">
        <v>2796.0</v>
      </c>
      <c r="B2797" s="9" t="s">
        <v>6263</v>
      </c>
      <c r="C2797" s="9">
        <v>2766.0</v>
      </c>
      <c r="D2797" s="4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</row>
    <row r="2798">
      <c r="A2798" s="9">
        <v>2797.0</v>
      </c>
      <c r="B2798" s="9" t="s">
        <v>6264</v>
      </c>
      <c r="C2798" s="9">
        <v>2766.0</v>
      </c>
      <c r="D2798" s="4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</row>
    <row r="2799">
      <c r="A2799" s="9">
        <v>2798.0</v>
      </c>
      <c r="B2799" s="9" t="s">
        <v>6265</v>
      </c>
      <c r="C2799" s="9">
        <v>2766.0</v>
      </c>
      <c r="D2799" s="4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</row>
    <row r="2800">
      <c r="A2800" s="9">
        <v>2799.0</v>
      </c>
      <c r="B2800" s="9" t="s">
        <v>6266</v>
      </c>
      <c r="C2800" s="9">
        <v>2766.0</v>
      </c>
      <c r="D2800" s="4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</row>
    <row r="2801">
      <c r="A2801" s="9">
        <v>2800.0</v>
      </c>
      <c r="B2801" s="9" t="s">
        <v>6267</v>
      </c>
      <c r="C2801" s="9">
        <v>2766.0</v>
      </c>
      <c r="D2801" s="4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</row>
    <row r="2802">
      <c r="A2802" s="9">
        <v>2801.0</v>
      </c>
      <c r="B2802" s="9" t="s">
        <v>6268</v>
      </c>
      <c r="C2802" s="9">
        <v>2766.0</v>
      </c>
      <c r="D2802" s="4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</row>
    <row r="2803">
      <c r="A2803" s="9">
        <v>2802.0</v>
      </c>
      <c r="B2803" s="9" t="s">
        <v>6269</v>
      </c>
      <c r="C2803" s="9">
        <v>2766.0</v>
      </c>
      <c r="D2803" s="4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</row>
    <row r="2804">
      <c r="A2804" s="9">
        <v>2803.0</v>
      </c>
      <c r="B2804" s="9" t="s">
        <v>6270</v>
      </c>
      <c r="C2804" s="9">
        <v>2766.0</v>
      </c>
      <c r="D2804" s="4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</row>
    <row r="2805">
      <c r="A2805" s="9">
        <v>2804.0</v>
      </c>
      <c r="B2805" s="9" t="s">
        <v>6271</v>
      </c>
      <c r="C2805" s="9">
        <v>2766.0</v>
      </c>
      <c r="D2805" s="4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</row>
    <row r="2806">
      <c r="A2806" s="9">
        <v>2805.0</v>
      </c>
      <c r="B2806" s="9" t="s">
        <v>6272</v>
      </c>
      <c r="C2806" s="9">
        <v>2766.0</v>
      </c>
      <c r="D2806" s="4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</row>
    <row r="2807">
      <c r="A2807" s="9">
        <v>2806.0</v>
      </c>
      <c r="B2807" s="9" t="s">
        <v>6273</v>
      </c>
      <c r="C2807" s="9">
        <v>2766.0</v>
      </c>
      <c r="D2807" s="4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</row>
    <row r="2808">
      <c r="A2808" s="9">
        <v>2807.0</v>
      </c>
      <c r="B2808" s="9" t="s">
        <v>6274</v>
      </c>
      <c r="C2808" s="9">
        <v>2766.0</v>
      </c>
      <c r="D2808" s="4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</row>
    <row r="2809">
      <c r="A2809" s="9">
        <v>2808.0</v>
      </c>
      <c r="B2809" s="9" t="s">
        <v>6275</v>
      </c>
      <c r="C2809" s="9">
        <v>2766.0</v>
      </c>
      <c r="D2809" s="4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</row>
    <row r="2810">
      <c r="A2810" s="9">
        <v>2809.0</v>
      </c>
      <c r="B2810" s="9" t="s">
        <v>6276</v>
      </c>
      <c r="C2810" s="9">
        <v>2766.0</v>
      </c>
      <c r="D2810" s="4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</row>
    <row r="2811">
      <c r="A2811" s="9">
        <v>2810.0</v>
      </c>
      <c r="B2811" s="9" t="s">
        <v>6277</v>
      </c>
      <c r="C2811" s="9">
        <v>2766.0</v>
      </c>
      <c r="D2811" s="4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</row>
    <row r="2812">
      <c r="A2812" s="9">
        <v>2811.0</v>
      </c>
      <c r="B2812" s="9" t="s">
        <v>6278</v>
      </c>
      <c r="C2812" s="9">
        <v>2766.0</v>
      </c>
      <c r="D2812" s="4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</row>
    <row r="2813">
      <c r="A2813" s="9">
        <v>2812.0</v>
      </c>
      <c r="B2813" s="9" t="s">
        <v>6279</v>
      </c>
      <c r="C2813" s="9">
        <v>2766.0</v>
      </c>
      <c r="D2813" s="4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</row>
    <row r="2814">
      <c r="A2814" s="9">
        <v>2813.0</v>
      </c>
      <c r="B2814" s="9" t="s">
        <v>6280</v>
      </c>
      <c r="C2814" s="9">
        <v>2766.0</v>
      </c>
      <c r="D2814" s="4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</row>
    <row r="2815">
      <c r="A2815" s="9">
        <v>2814.0</v>
      </c>
      <c r="B2815" s="9" t="s">
        <v>6281</v>
      </c>
      <c r="C2815" s="9">
        <v>2766.0</v>
      </c>
      <c r="D2815" s="4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</row>
    <row r="2816">
      <c r="A2816" s="9">
        <v>2815.0</v>
      </c>
      <c r="B2816" s="9" t="s">
        <v>6282</v>
      </c>
      <c r="C2816" s="4"/>
      <c r="D2816" s="4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</row>
    <row r="2817">
      <c r="A2817" s="9">
        <v>2816.0</v>
      </c>
      <c r="B2817" s="9" t="s">
        <v>6283</v>
      </c>
      <c r="C2817" s="9">
        <v>2815.0</v>
      </c>
      <c r="D2817" s="4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</row>
    <row r="2818">
      <c r="A2818" s="9">
        <v>2817.0</v>
      </c>
      <c r="B2818" s="9" t="s">
        <v>6284</v>
      </c>
      <c r="C2818" s="9">
        <v>2815.0</v>
      </c>
      <c r="D2818" s="4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</row>
    <row r="2819">
      <c r="A2819" s="9">
        <v>2818.0</v>
      </c>
      <c r="B2819" s="9" t="s">
        <v>6285</v>
      </c>
      <c r="C2819" s="9">
        <v>2815.0</v>
      </c>
      <c r="D2819" s="4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</row>
    <row r="2820">
      <c r="A2820" s="9">
        <v>2819.0</v>
      </c>
      <c r="B2820" s="9" t="s">
        <v>6286</v>
      </c>
      <c r="C2820" s="9">
        <v>2815.0</v>
      </c>
      <c r="D2820" s="4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</row>
    <row r="2821">
      <c r="A2821" s="9">
        <v>2820.0</v>
      </c>
      <c r="B2821" s="9" t="s">
        <v>6287</v>
      </c>
      <c r="C2821" s="9">
        <v>2815.0</v>
      </c>
      <c r="D2821" s="4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</row>
    <row r="2822">
      <c r="A2822" s="9">
        <v>2821.0</v>
      </c>
      <c r="B2822" s="9" t="s">
        <v>6288</v>
      </c>
      <c r="C2822" s="9">
        <v>2815.0</v>
      </c>
      <c r="D2822" s="4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</row>
    <row r="2823">
      <c r="A2823" s="9">
        <v>2822.0</v>
      </c>
      <c r="B2823" s="9" t="s">
        <v>6289</v>
      </c>
      <c r="C2823" s="9">
        <v>2815.0</v>
      </c>
      <c r="D2823" s="4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</row>
    <row r="2824">
      <c r="A2824" s="9">
        <v>2823.0</v>
      </c>
      <c r="B2824" s="9" t="s">
        <v>6290</v>
      </c>
      <c r="C2824" s="9">
        <v>2815.0</v>
      </c>
      <c r="D2824" s="4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</row>
    <row r="2825">
      <c r="A2825" s="9">
        <v>2824.0</v>
      </c>
      <c r="B2825" s="9" t="s">
        <v>6291</v>
      </c>
      <c r="C2825" s="4"/>
      <c r="D2825" s="4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</row>
    <row r="2826">
      <c r="A2826" s="9">
        <v>2825.0</v>
      </c>
      <c r="B2826" s="9" t="s">
        <v>6292</v>
      </c>
      <c r="C2826" s="4"/>
      <c r="D2826" s="4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</row>
    <row r="2827">
      <c r="A2827" s="9">
        <v>2826.0</v>
      </c>
      <c r="B2827" s="9" t="s">
        <v>6293</v>
      </c>
      <c r="C2827" s="9">
        <v>2825.0</v>
      </c>
      <c r="D2827" s="4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</row>
    <row r="2828">
      <c r="A2828" s="9">
        <v>2827.0</v>
      </c>
      <c r="B2828" s="9" t="s">
        <v>6294</v>
      </c>
      <c r="C2828" s="9">
        <v>2825.0</v>
      </c>
      <c r="D2828" s="4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</row>
    <row r="2829">
      <c r="A2829" s="9">
        <v>2828.0</v>
      </c>
      <c r="B2829" s="9" t="s">
        <v>6295</v>
      </c>
      <c r="C2829" s="9">
        <v>2825.0</v>
      </c>
      <c r="D2829" s="4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</row>
    <row r="2830">
      <c r="A2830" s="9">
        <v>2829.0</v>
      </c>
      <c r="B2830" s="9" t="s">
        <v>6296</v>
      </c>
      <c r="C2830" s="9">
        <v>2825.0</v>
      </c>
      <c r="D2830" s="4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</row>
    <row r="2831">
      <c r="A2831" s="9">
        <v>2830.0</v>
      </c>
      <c r="B2831" s="9" t="s">
        <v>6297</v>
      </c>
      <c r="C2831" s="9">
        <v>2825.0</v>
      </c>
      <c r="D2831" s="4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</row>
    <row r="2832">
      <c r="A2832" s="9">
        <v>2831.0</v>
      </c>
      <c r="B2832" s="9" t="s">
        <v>6298</v>
      </c>
      <c r="C2832" s="9">
        <v>2825.0</v>
      </c>
      <c r="D2832" s="4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</row>
    <row r="2833">
      <c r="A2833" s="9">
        <v>2832.0</v>
      </c>
      <c r="B2833" s="9" t="s">
        <v>6299</v>
      </c>
      <c r="C2833" s="9">
        <v>2825.0</v>
      </c>
      <c r="D2833" s="4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</row>
    <row r="2834">
      <c r="A2834" s="9">
        <v>2833.0</v>
      </c>
      <c r="B2834" s="9" t="s">
        <v>6300</v>
      </c>
      <c r="C2834" s="9">
        <v>2825.0</v>
      </c>
      <c r="D2834" s="4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</row>
    <row r="2835">
      <c r="A2835" s="9">
        <v>2834.0</v>
      </c>
      <c r="B2835" s="9" t="s">
        <v>6301</v>
      </c>
      <c r="C2835" s="9">
        <v>2825.0</v>
      </c>
      <c r="D2835" s="4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</row>
    <row r="2836">
      <c r="A2836" s="9">
        <v>2835.0</v>
      </c>
      <c r="B2836" s="9" t="s">
        <v>6302</v>
      </c>
      <c r="C2836" s="9">
        <v>2825.0</v>
      </c>
      <c r="D2836" s="4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</row>
    <row r="2837">
      <c r="A2837" s="9">
        <v>2836.0</v>
      </c>
      <c r="B2837" s="9" t="s">
        <v>6303</v>
      </c>
      <c r="C2837" s="4"/>
      <c r="D2837" s="4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</row>
    <row r="2838">
      <c r="A2838" s="9">
        <v>2837.0</v>
      </c>
      <c r="B2838" s="9" t="s">
        <v>6304</v>
      </c>
      <c r="C2838" s="9">
        <v>2836.0</v>
      </c>
      <c r="D2838" s="4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</row>
    <row r="2839">
      <c r="A2839" s="9">
        <v>2838.0</v>
      </c>
      <c r="B2839" s="9" t="s">
        <v>6305</v>
      </c>
      <c r="C2839" s="4"/>
      <c r="D2839" s="4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</row>
    <row r="2840">
      <c r="A2840" s="9">
        <v>2839.0</v>
      </c>
      <c r="B2840" s="9" t="s">
        <v>6306</v>
      </c>
      <c r="C2840" s="9">
        <v>2838.0</v>
      </c>
      <c r="D2840" s="4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</row>
    <row r="2841">
      <c r="A2841" s="9">
        <v>2840.0</v>
      </c>
      <c r="B2841" s="9" t="s">
        <v>6307</v>
      </c>
      <c r="C2841" s="9">
        <v>2838.0</v>
      </c>
      <c r="D2841" s="4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</row>
    <row r="2842">
      <c r="A2842" s="9">
        <v>2841.0</v>
      </c>
      <c r="B2842" s="9" t="s">
        <v>6308</v>
      </c>
      <c r="C2842" s="9">
        <v>2838.0</v>
      </c>
      <c r="D2842" s="4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</row>
    <row r="2843">
      <c r="A2843" s="9">
        <v>2842.0</v>
      </c>
      <c r="B2843" s="9" t="s">
        <v>6309</v>
      </c>
      <c r="C2843" s="4"/>
      <c r="D2843" s="4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</row>
    <row r="2844">
      <c r="A2844" s="9">
        <v>2843.0</v>
      </c>
      <c r="B2844" s="9" t="s">
        <v>6310</v>
      </c>
      <c r="C2844" s="9">
        <v>2842.0</v>
      </c>
      <c r="D2844" s="4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</row>
    <row r="2845">
      <c r="A2845" s="9">
        <v>2844.0</v>
      </c>
      <c r="B2845" s="9" t="s">
        <v>6311</v>
      </c>
      <c r="C2845" s="9">
        <v>2842.0</v>
      </c>
      <c r="D2845" s="4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</row>
    <row r="2846">
      <c r="A2846" s="9">
        <v>2845.0</v>
      </c>
      <c r="B2846" s="9" t="s">
        <v>6312</v>
      </c>
      <c r="C2846" s="9">
        <v>2842.0</v>
      </c>
      <c r="D2846" s="4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</row>
    <row r="2847">
      <c r="A2847" s="9">
        <v>2846.0</v>
      </c>
      <c r="B2847" s="9" t="s">
        <v>6313</v>
      </c>
      <c r="C2847" s="4"/>
      <c r="D2847" s="4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</row>
    <row r="2848">
      <c r="A2848" s="9">
        <v>2847.0</v>
      </c>
      <c r="B2848" s="9" t="s">
        <v>6314</v>
      </c>
      <c r="C2848" s="9">
        <v>2846.0</v>
      </c>
      <c r="D2848" s="4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</row>
    <row r="2849">
      <c r="A2849" s="9">
        <v>2848.0</v>
      </c>
      <c r="B2849" s="9" t="s">
        <v>6315</v>
      </c>
      <c r="C2849" s="9">
        <v>2846.0</v>
      </c>
      <c r="D2849" s="4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</row>
    <row r="2850">
      <c r="A2850" s="9">
        <v>2849.0</v>
      </c>
      <c r="B2850" s="9" t="s">
        <v>6316</v>
      </c>
      <c r="C2850" s="9">
        <v>2846.0</v>
      </c>
      <c r="D2850" s="4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</row>
    <row r="2851">
      <c r="A2851" s="9">
        <v>2850.0</v>
      </c>
      <c r="B2851" s="9" t="s">
        <v>6317</v>
      </c>
      <c r="C2851" s="9">
        <v>2846.0</v>
      </c>
      <c r="D2851" s="4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</row>
    <row r="2852">
      <c r="A2852" s="9">
        <v>2851.0</v>
      </c>
      <c r="B2852" s="9" t="s">
        <v>6318</v>
      </c>
      <c r="C2852" s="9">
        <v>2846.0</v>
      </c>
      <c r="D2852" s="4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</row>
    <row r="2853">
      <c r="A2853" s="9">
        <v>2852.0</v>
      </c>
      <c r="B2853" s="9" t="s">
        <v>6319</v>
      </c>
      <c r="C2853" s="9">
        <v>2846.0</v>
      </c>
      <c r="D2853" s="4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</row>
    <row r="2854">
      <c r="A2854" s="9">
        <v>2853.0</v>
      </c>
      <c r="B2854" s="9" t="s">
        <v>6320</v>
      </c>
      <c r="C2854" s="9">
        <v>2846.0</v>
      </c>
      <c r="D2854" s="4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</row>
    <row r="2855">
      <c r="A2855" s="9">
        <v>2854.0</v>
      </c>
      <c r="B2855" s="9" t="s">
        <v>6321</v>
      </c>
      <c r="C2855" s="9">
        <v>2846.0</v>
      </c>
      <c r="D2855" s="4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</row>
    <row r="2856">
      <c r="A2856" s="9">
        <v>2855.0</v>
      </c>
      <c r="B2856" s="9" t="s">
        <v>6322</v>
      </c>
      <c r="C2856" s="9">
        <v>2846.0</v>
      </c>
      <c r="D2856" s="4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</row>
    <row r="2857">
      <c r="A2857" s="9">
        <v>2856.0</v>
      </c>
      <c r="B2857" s="9" t="s">
        <v>6323</v>
      </c>
      <c r="C2857" s="9">
        <v>2846.0</v>
      </c>
      <c r="D2857" s="4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</row>
    <row r="2858">
      <c r="A2858" s="9">
        <v>2857.0</v>
      </c>
      <c r="B2858" s="9" t="s">
        <v>6324</v>
      </c>
      <c r="C2858" s="9">
        <v>2846.0</v>
      </c>
      <c r="D2858" s="4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</row>
    <row r="2859">
      <c r="A2859" s="9">
        <v>2858.0</v>
      </c>
      <c r="B2859" s="9" t="s">
        <v>6325</v>
      </c>
      <c r="C2859" s="9">
        <v>2846.0</v>
      </c>
      <c r="D2859" s="4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</row>
    <row r="2860">
      <c r="A2860" s="9">
        <v>2859.0</v>
      </c>
      <c r="B2860" s="9" t="s">
        <v>6326</v>
      </c>
      <c r="C2860" s="4"/>
      <c r="D2860" s="4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</row>
    <row r="2861">
      <c r="A2861" s="9">
        <v>2860.0</v>
      </c>
      <c r="B2861" s="9" t="s">
        <v>6327</v>
      </c>
      <c r="C2861" s="9">
        <v>2859.0</v>
      </c>
      <c r="D2861" s="4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</row>
    <row r="2862">
      <c r="A2862" s="9">
        <v>2861.0</v>
      </c>
      <c r="B2862" s="9" t="s">
        <v>6328</v>
      </c>
      <c r="C2862" s="9">
        <v>2859.0</v>
      </c>
      <c r="D2862" s="4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</row>
    <row r="2863">
      <c r="A2863" s="9">
        <v>2862.0</v>
      </c>
      <c r="B2863" s="9" t="s">
        <v>6329</v>
      </c>
      <c r="C2863" s="9">
        <v>2859.0</v>
      </c>
      <c r="D2863" s="4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</row>
    <row r="2864">
      <c r="A2864" s="9">
        <v>2863.0</v>
      </c>
      <c r="B2864" s="9" t="s">
        <v>6330</v>
      </c>
      <c r="C2864" s="9">
        <v>2859.0</v>
      </c>
      <c r="D2864" s="4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</row>
    <row r="2865">
      <c r="A2865" s="9">
        <v>2864.0</v>
      </c>
      <c r="B2865" s="9" t="s">
        <v>6331</v>
      </c>
      <c r="C2865" s="9">
        <v>2859.0</v>
      </c>
      <c r="D2865" s="4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</row>
    <row r="2866">
      <c r="A2866" s="9">
        <v>2865.0</v>
      </c>
      <c r="B2866" s="9" t="s">
        <v>6332</v>
      </c>
      <c r="C2866" s="9">
        <v>2859.0</v>
      </c>
      <c r="D2866" s="4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</row>
    <row r="2867">
      <c r="A2867" s="9">
        <v>2866.0</v>
      </c>
      <c r="B2867" s="9" t="s">
        <v>6333</v>
      </c>
      <c r="C2867" s="9">
        <v>2859.0</v>
      </c>
      <c r="D2867" s="4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</row>
    <row r="2868">
      <c r="A2868" s="9">
        <v>2867.0</v>
      </c>
      <c r="B2868" s="9" t="s">
        <v>6334</v>
      </c>
      <c r="C2868" s="9">
        <v>2859.0</v>
      </c>
      <c r="D2868" s="4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</row>
    <row r="2869">
      <c r="A2869" s="9">
        <v>2868.0</v>
      </c>
      <c r="B2869" s="9" t="s">
        <v>6335</v>
      </c>
      <c r="C2869" s="9">
        <v>2859.0</v>
      </c>
      <c r="D2869" s="4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</row>
    <row r="2870">
      <c r="A2870" s="9">
        <v>2869.0</v>
      </c>
      <c r="B2870" s="9" t="s">
        <v>6336</v>
      </c>
      <c r="C2870" s="9">
        <v>2859.0</v>
      </c>
      <c r="D2870" s="4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</row>
    <row r="2871">
      <c r="A2871" s="9">
        <v>2870.0</v>
      </c>
      <c r="B2871" s="9" t="s">
        <v>6337</v>
      </c>
      <c r="C2871" s="9">
        <v>2859.0</v>
      </c>
      <c r="D2871" s="4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</row>
    <row r="2872">
      <c r="A2872" s="9">
        <v>2871.0</v>
      </c>
      <c r="B2872" s="9" t="s">
        <v>6338</v>
      </c>
      <c r="C2872" s="9">
        <v>2859.0</v>
      </c>
      <c r="D2872" s="4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</row>
    <row r="2873">
      <c r="A2873" s="9">
        <v>2872.0</v>
      </c>
      <c r="B2873" s="9" t="s">
        <v>6339</v>
      </c>
      <c r="C2873" s="9">
        <v>2859.0</v>
      </c>
      <c r="D2873" s="4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</row>
    <row r="2874">
      <c r="A2874" s="9">
        <v>2873.0</v>
      </c>
      <c r="B2874" s="9" t="s">
        <v>6340</v>
      </c>
      <c r="C2874" s="4"/>
      <c r="D2874" s="4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</row>
    <row r="2875">
      <c r="A2875" s="9">
        <v>2874.0</v>
      </c>
      <c r="B2875" s="9" t="s">
        <v>6341</v>
      </c>
      <c r="C2875" s="9">
        <v>2873.0</v>
      </c>
      <c r="D2875" s="4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</row>
    <row r="2876">
      <c r="A2876" s="9">
        <v>2875.0</v>
      </c>
      <c r="B2876" s="9" t="s">
        <v>6342</v>
      </c>
      <c r="C2876" s="9">
        <v>2873.0</v>
      </c>
      <c r="D2876" s="4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</row>
    <row r="2877">
      <c r="A2877" s="9">
        <v>2876.0</v>
      </c>
      <c r="B2877" s="9" t="s">
        <v>6343</v>
      </c>
      <c r="C2877" s="4"/>
      <c r="D2877" s="4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</row>
    <row r="2878">
      <c r="A2878" s="9">
        <v>2877.0</v>
      </c>
      <c r="B2878" s="9" t="s">
        <v>6344</v>
      </c>
      <c r="C2878" s="9">
        <v>2876.0</v>
      </c>
      <c r="D2878" s="4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</row>
    <row r="2879">
      <c r="A2879" s="9">
        <v>2878.0</v>
      </c>
      <c r="B2879" s="9" t="s">
        <v>6345</v>
      </c>
      <c r="C2879" s="9">
        <v>2876.0</v>
      </c>
      <c r="D2879" s="4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</row>
    <row r="2880">
      <c r="A2880" s="9">
        <v>2879.0</v>
      </c>
      <c r="B2880" s="9" t="s">
        <v>6346</v>
      </c>
      <c r="C2880" s="9">
        <v>2876.0</v>
      </c>
      <c r="D2880" s="4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</row>
    <row r="2881">
      <c r="A2881" s="9">
        <v>2880.0</v>
      </c>
      <c r="B2881" s="9" t="s">
        <v>6347</v>
      </c>
      <c r="C2881" s="9">
        <v>2876.0</v>
      </c>
      <c r="D2881" s="4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</row>
    <row r="2882">
      <c r="A2882" s="9">
        <v>2881.0</v>
      </c>
      <c r="B2882" s="9" t="s">
        <v>6348</v>
      </c>
      <c r="C2882" s="9">
        <v>2876.0</v>
      </c>
      <c r="D2882" s="4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</row>
    <row r="2883">
      <c r="A2883" s="9">
        <v>2882.0</v>
      </c>
      <c r="B2883" s="9" t="s">
        <v>6349</v>
      </c>
      <c r="C2883" s="9">
        <v>2876.0</v>
      </c>
      <c r="D2883" s="4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</row>
    <row r="2884">
      <c r="A2884" s="9">
        <v>2883.0</v>
      </c>
      <c r="B2884" s="9" t="s">
        <v>6350</v>
      </c>
      <c r="C2884" s="4"/>
      <c r="D2884" s="4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</row>
    <row r="2885">
      <c r="A2885" s="9">
        <v>2884.0</v>
      </c>
      <c r="B2885" s="9" t="s">
        <v>6351</v>
      </c>
      <c r="C2885" s="9">
        <v>2883.0</v>
      </c>
      <c r="D2885" s="4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</row>
    <row r="2886">
      <c r="A2886" s="9">
        <v>2885.0</v>
      </c>
      <c r="B2886" s="9" t="s">
        <v>6352</v>
      </c>
      <c r="C2886" s="4"/>
      <c r="D2886" s="4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</row>
    <row r="2887">
      <c r="A2887" s="9">
        <v>2886.0</v>
      </c>
      <c r="B2887" s="9" t="s">
        <v>6353</v>
      </c>
      <c r="C2887" s="9">
        <v>2885.0</v>
      </c>
      <c r="D2887" s="4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</row>
    <row r="2888">
      <c r="A2888" s="9">
        <v>2887.0</v>
      </c>
      <c r="B2888" s="9" t="s">
        <v>6354</v>
      </c>
      <c r="C2888" s="4"/>
      <c r="D2888" s="4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</row>
    <row r="2889">
      <c r="A2889" s="9">
        <v>2888.0</v>
      </c>
      <c r="B2889" s="9" t="s">
        <v>6355</v>
      </c>
      <c r="C2889" s="9">
        <v>2887.0</v>
      </c>
      <c r="D2889" s="4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</row>
    <row r="2890">
      <c r="A2890" s="9">
        <v>2889.0</v>
      </c>
      <c r="B2890" s="9" t="s">
        <v>6356</v>
      </c>
      <c r="C2890" s="9">
        <v>2887.0</v>
      </c>
      <c r="D2890" s="4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</row>
    <row r="2891">
      <c r="A2891" s="9">
        <v>2890.0</v>
      </c>
      <c r="B2891" s="9" t="s">
        <v>6357</v>
      </c>
      <c r="C2891" s="9">
        <v>2887.0</v>
      </c>
      <c r="D2891" s="4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</row>
    <row r="2892">
      <c r="A2892" s="9">
        <v>2891.0</v>
      </c>
      <c r="B2892" s="9" t="s">
        <v>6358</v>
      </c>
      <c r="C2892" s="9">
        <v>2887.0</v>
      </c>
      <c r="D2892" s="4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</row>
    <row r="2893">
      <c r="A2893" s="9">
        <v>2892.0</v>
      </c>
      <c r="B2893" s="9" t="s">
        <v>6359</v>
      </c>
      <c r="C2893" s="9">
        <v>2887.0</v>
      </c>
      <c r="D2893" s="4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</row>
    <row r="2894">
      <c r="A2894" s="9">
        <v>2893.0</v>
      </c>
      <c r="B2894" s="9" t="s">
        <v>6360</v>
      </c>
      <c r="C2894" s="4"/>
      <c r="D2894" s="4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</row>
    <row r="2895">
      <c r="A2895" s="9">
        <v>2894.0</v>
      </c>
      <c r="B2895" s="9" t="s">
        <v>6361</v>
      </c>
      <c r="C2895" s="9">
        <v>2893.0</v>
      </c>
      <c r="D2895" s="4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</row>
    <row r="2896">
      <c r="A2896" s="9">
        <v>2895.0</v>
      </c>
      <c r="B2896" s="9" t="s">
        <v>6362</v>
      </c>
      <c r="C2896" s="9">
        <v>2893.0</v>
      </c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</row>
    <row r="2897">
      <c r="A2897" s="9">
        <v>2896.0</v>
      </c>
      <c r="B2897" s="9" t="s">
        <v>6363</v>
      </c>
      <c r="C2897" s="4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</row>
    <row r="2898">
      <c r="A2898" s="9">
        <v>2897.0</v>
      </c>
      <c r="B2898" s="9" t="s">
        <v>6364</v>
      </c>
      <c r="C2898" s="4"/>
      <c r="D2898" s="4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</row>
    <row r="2899">
      <c r="A2899" s="9">
        <v>2898.0</v>
      </c>
      <c r="B2899" s="9" t="s">
        <v>6365</v>
      </c>
      <c r="C2899" s="4"/>
      <c r="D2899" s="4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</row>
    <row r="2900">
      <c r="A2900" s="9">
        <v>2899.0</v>
      </c>
      <c r="B2900" s="9" t="s">
        <v>6366</v>
      </c>
      <c r="C2900" s="9">
        <v>2898.0</v>
      </c>
      <c r="D2900" s="4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</row>
    <row r="2901">
      <c r="A2901" s="9">
        <v>2900.0</v>
      </c>
      <c r="B2901" s="9" t="s">
        <v>6367</v>
      </c>
      <c r="C2901" s="4"/>
      <c r="D2901" s="4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</row>
    <row r="2902">
      <c r="A2902" s="9">
        <v>2901.0</v>
      </c>
      <c r="B2902" s="9" t="s">
        <v>6368</v>
      </c>
      <c r="C2902" s="9">
        <v>2900.0</v>
      </c>
      <c r="D2902" s="4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</row>
    <row r="2903">
      <c r="A2903" s="9">
        <v>2902.0</v>
      </c>
      <c r="B2903" s="9" t="s">
        <v>6369</v>
      </c>
      <c r="C2903" s="4"/>
      <c r="D2903" s="4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</row>
    <row r="2904">
      <c r="A2904" s="9">
        <v>2903.0</v>
      </c>
      <c r="B2904" s="9" t="s">
        <v>6370</v>
      </c>
      <c r="C2904" s="9">
        <v>2902.0</v>
      </c>
      <c r="D2904" s="4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</row>
    <row r="2905">
      <c r="A2905" s="9">
        <v>2904.0</v>
      </c>
      <c r="B2905" s="9" t="s">
        <v>6371</v>
      </c>
      <c r="C2905" s="4"/>
      <c r="D2905" s="4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</row>
    <row r="2906">
      <c r="A2906" s="9">
        <v>2905.0</v>
      </c>
      <c r="B2906" s="9" t="s">
        <v>6372</v>
      </c>
      <c r="C2906" s="9">
        <v>2904.0</v>
      </c>
      <c r="D2906" s="4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</row>
    <row r="2907">
      <c r="A2907" s="9">
        <v>2906.0</v>
      </c>
      <c r="B2907" s="9" t="s">
        <v>6373</v>
      </c>
      <c r="C2907" s="9">
        <v>2904.0</v>
      </c>
      <c r="D2907" s="4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</row>
    <row r="2908">
      <c r="A2908" s="9">
        <v>2907.0</v>
      </c>
      <c r="B2908" s="9" t="s">
        <v>6374</v>
      </c>
      <c r="C2908" s="9">
        <v>2904.0</v>
      </c>
      <c r="D2908" s="4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</row>
    <row r="2909">
      <c r="A2909" s="9">
        <v>2908.0</v>
      </c>
      <c r="B2909" s="9" t="s">
        <v>6375</v>
      </c>
      <c r="C2909" s="9">
        <v>2904.0</v>
      </c>
      <c r="D2909" s="4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</row>
    <row r="2910">
      <c r="A2910" s="9">
        <v>2909.0</v>
      </c>
      <c r="B2910" s="9" t="s">
        <v>6376</v>
      </c>
      <c r="C2910" s="4"/>
      <c r="D2910" s="4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</row>
    <row r="2911">
      <c r="A2911" s="9">
        <v>2910.0</v>
      </c>
      <c r="B2911" s="9" t="s">
        <v>6377</v>
      </c>
      <c r="C2911" s="9">
        <v>2909.0</v>
      </c>
      <c r="D2911" s="4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</row>
    <row r="2912">
      <c r="A2912" s="9">
        <v>2911.0</v>
      </c>
      <c r="B2912" s="9" t="s">
        <v>6378</v>
      </c>
      <c r="C2912" s="4"/>
      <c r="D2912" s="4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</row>
    <row r="2913">
      <c r="A2913" s="9">
        <v>2912.0</v>
      </c>
      <c r="B2913" s="9" t="s">
        <v>6379</v>
      </c>
      <c r="C2913" s="9">
        <v>2911.0</v>
      </c>
      <c r="D2913" s="4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</row>
    <row r="2914">
      <c r="A2914" s="9">
        <v>2913.0</v>
      </c>
      <c r="B2914" s="9" t="s">
        <v>6380</v>
      </c>
      <c r="C2914" s="9">
        <v>2911.0</v>
      </c>
      <c r="D2914" s="4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</row>
    <row r="2915">
      <c r="A2915" s="9">
        <v>2914.0</v>
      </c>
      <c r="B2915" s="9" t="s">
        <v>6381</v>
      </c>
      <c r="C2915" s="9">
        <v>2911.0</v>
      </c>
      <c r="D2915" s="4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</row>
    <row r="2916">
      <c r="A2916" s="9">
        <v>2915.0</v>
      </c>
      <c r="B2916" s="9" t="s">
        <v>6382</v>
      </c>
      <c r="C2916" s="9">
        <v>2911.0</v>
      </c>
      <c r="D2916" s="4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</row>
    <row r="2917">
      <c r="A2917" s="9">
        <v>2916.0</v>
      </c>
      <c r="B2917" s="9" t="s">
        <v>6383</v>
      </c>
      <c r="C2917" s="9">
        <v>2911.0</v>
      </c>
      <c r="D2917" s="4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</row>
    <row r="2918">
      <c r="A2918" s="9">
        <v>2917.0</v>
      </c>
      <c r="B2918" s="9" t="s">
        <v>6384</v>
      </c>
      <c r="C2918" s="4"/>
      <c r="D2918" s="4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</row>
    <row r="2919">
      <c r="A2919" s="9">
        <v>2918.0</v>
      </c>
      <c r="B2919" s="9" t="s">
        <v>6385</v>
      </c>
      <c r="C2919" s="9">
        <v>2917.0</v>
      </c>
      <c r="D2919" s="4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</row>
    <row r="2920">
      <c r="A2920" s="9">
        <v>2919.0</v>
      </c>
      <c r="B2920" s="9" t="s">
        <v>6386</v>
      </c>
      <c r="C2920" s="9">
        <v>2917.0</v>
      </c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</row>
    <row r="2921">
      <c r="A2921" s="9">
        <v>2920.0</v>
      </c>
      <c r="B2921" s="9" t="s">
        <v>6387</v>
      </c>
      <c r="C2921" s="4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</row>
    <row r="2922">
      <c r="A2922" s="9">
        <v>2921.0</v>
      </c>
      <c r="B2922" s="9" t="s">
        <v>6388</v>
      </c>
      <c r="C2922" s="4"/>
      <c r="D2922" s="4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</row>
    <row r="2923">
      <c r="A2923" s="9">
        <v>2922.0</v>
      </c>
      <c r="B2923" s="9" t="s">
        <v>6389</v>
      </c>
      <c r="C2923" s="9">
        <v>2921.0</v>
      </c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</row>
    <row r="2924">
      <c r="A2924" s="9">
        <v>2923.0</v>
      </c>
      <c r="B2924" s="9" t="s">
        <v>6390</v>
      </c>
      <c r="C2924" s="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</row>
    <row r="2925">
      <c r="A2925" s="9">
        <v>2924.0</v>
      </c>
      <c r="B2925" s="9" t="s">
        <v>6391</v>
      </c>
      <c r="C2925" s="9">
        <v>2923.0</v>
      </c>
      <c r="D2925" s="4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</row>
    <row r="2926">
      <c r="A2926" s="9">
        <v>2925.0</v>
      </c>
      <c r="B2926" s="9" t="s">
        <v>6392</v>
      </c>
      <c r="C2926" s="4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</row>
    <row r="2927">
      <c r="A2927" s="9">
        <v>2926.0</v>
      </c>
      <c r="B2927" s="9" t="s">
        <v>6393</v>
      </c>
      <c r="C2927" s="9">
        <v>2925.0</v>
      </c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</row>
    <row r="2928">
      <c r="A2928" s="9">
        <v>2927.0</v>
      </c>
      <c r="B2928" s="9" t="s">
        <v>6394</v>
      </c>
      <c r="C2928" s="9">
        <v>2925.0</v>
      </c>
      <c r="D2928" s="4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</row>
  </sheetData>
  <autoFilter ref="$A$1:$C$2928"/>
  <drawing r:id="rId1"/>
</worksheet>
</file>